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Малышева, 84" sheetId="8" r:id="rId1"/>
    <sheet name="Лист1" sheetId="5" state="hidden" r:id="rId2"/>
  </sheets>
  <definedNames>
    <definedName name="_xlnm._FilterDatabase" localSheetId="0" hidden="1">'Малышева, 84'!$A$7:$I$249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1" i="8"/>
  <c r="F240"/>
  <c r="G229"/>
  <c r="G225"/>
  <c r="G220"/>
  <c r="G219"/>
  <c r="G216"/>
  <c r="G215"/>
  <c r="G214"/>
  <c r="G213"/>
  <c r="G212"/>
  <c r="G209"/>
  <c r="G208"/>
  <c r="G207"/>
  <c r="G206"/>
  <c r="G203"/>
  <c r="G202"/>
  <c r="G201"/>
  <c r="G200"/>
  <c r="G199"/>
  <c r="G198"/>
  <c r="G197"/>
  <c r="G196"/>
  <c r="G195"/>
  <c r="G194"/>
  <c r="G193"/>
  <c r="G190"/>
  <c r="G189"/>
  <c r="G188"/>
  <c r="G185"/>
  <c r="G184"/>
  <c r="G183"/>
  <c r="G182"/>
  <c r="G181"/>
  <c r="G180"/>
  <c r="G179"/>
  <c r="G178"/>
  <c r="G177"/>
  <c r="G176"/>
  <c r="G173"/>
  <c r="G172"/>
  <c r="G171"/>
  <c r="G170"/>
  <c r="G169"/>
  <c r="G168"/>
  <c r="G167"/>
  <c r="G166"/>
  <c r="G161"/>
  <c r="G160"/>
  <c r="G152"/>
  <c r="G149"/>
  <c r="G137"/>
  <c r="G128"/>
  <c r="G127"/>
  <c r="G124"/>
  <c r="G113"/>
  <c r="G112"/>
  <c r="G109"/>
  <c r="G98"/>
  <c r="G97"/>
  <c r="G94"/>
  <c r="G66"/>
  <c r="G63"/>
  <c r="G42"/>
  <c r="G41"/>
  <c r="G40"/>
  <c r="G34"/>
  <c r="G24"/>
  <c r="G23"/>
  <c r="G21"/>
  <c r="F239"/>
  <c r="F234"/>
  <c r="F233"/>
  <c r="F232"/>
  <c r="F231"/>
  <c r="F224"/>
  <c r="F223"/>
  <c r="F221"/>
  <c r="F217"/>
  <c r="F210"/>
  <c r="F204"/>
  <c r="F191"/>
  <c r="F186"/>
  <c r="F174"/>
  <c r="F158"/>
  <c r="F157"/>
  <c r="F156"/>
  <c r="F155"/>
  <c r="F154"/>
  <c r="F146"/>
  <c r="F145"/>
  <c r="F144"/>
  <c r="F143"/>
  <c r="F142"/>
  <c r="F141"/>
  <c r="F134"/>
  <c r="F133"/>
  <c r="F132"/>
  <c r="F131"/>
  <c r="F130"/>
  <c r="F121"/>
  <c r="F120"/>
  <c r="F119"/>
  <c r="F118"/>
  <c r="F117"/>
  <c r="F116"/>
  <c r="F115"/>
  <c r="F106"/>
  <c r="F105"/>
  <c r="F104"/>
  <c r="F103"/>
  <c r="F102"/>
  <c r="F101"/>
  <c r="F100"/>
  <c r="F91"/>
  <c r="F90"/>
  <c r="F89"/>
  <c r="F88"/>
  <c r="F87"/>
  <c r="F86"/>
  <c r="F85"/>
  <c r="F60"/>
  <c r="F59"/>
  <c r="F58"/>
  <c r="F57"/>
  <c r="F56"/>
  <c r="F49"/>
  <c r="F48"/>
  <c r="F47"/>
  <c r="F46"/>
  <c r="F45"/>
  <c r="F44"/>
  <c r="F32"/>
  <c r="F31"/>
  <c r="F30"/>
  <c r="F29"/>
  <c r="F28"/>
  <c r="F27"/>
  <c r="F26"/>
  <c r="F15"/>
  <c r="F14"/>
  <c r="F13"/>
  <c r="F12"/>
  <c r="F11"/>
  <c r="F10"/>
  <c r="F9"/>
  <c r="E256"/>
  <c r="E255"/>
  <c r="G257"/>
  <c r="D228"/>
  <c r="G228" s="1"/>
  <c r="E257" l="1"/>
  <c r="D237"/>
  <c r="G237" s="1"/>
  <c r="D236"/>
  <c r="G236" s="1"/>
  <c r="D232"/>
  <c r="D227"/>
  <c r="G227" s="1"/>
  <c r="D10"/>
  <c r="D65" l="1"/>
  <c r="G65" s="1"/>
  <c r="D64"/>
  <c r="G64" s="1"/>
  <c r="D62"/>
  <c r="G62" s="1"/>
  <c r="D56"/>
  <c r="D54"/>
  <c r="G54" s="1"/>
  <c r="D53"/>
  <c r="G53" s="1"/>
  <c r="D52"/>
  <c r="G52" s="1"/>
  <c r="D51"/>
  <c r="G51" s="1"/>
  <c r="D44"/>
  <c r="D38"/>
  <c r="D37"/>
  <c r="G37" s="1"/>
  <c r="D36"/>
  <c r="G36" s="1"/>
  <c r="D35"/>
  <c r="G35" s="1"/>
  <c r="D34"/>
  <c r="D27"/>
  <c r="D22"/>
  <c r="G22" s="1"/>
  <c r="D20"/>
  <c r="G20" s="1"/>
  <c r="D39" l="1"/>
  <c r="G39" s="1"/>
  <c r="G38"/>
  <c r="D19"/>
  <c r="G19" s="1"/>
  <c r="D18"/>
  <c r="G18" s="1"/>
  <c r="D17"/>
  <c r="G17" s="1"/>
  <c r="D163"/>
  <c r="G163" s="1"/>
  <c r="D162"/>
  <c r="G162" s="1"/>
  <c r="D160"/>
  <c r="D154"/>
  <c r="D151"/>
  <c r="G151" s="1"/>
  <c r="D150"/>
  <c r="G150" s="1"/>
  <c r="D148"/>
  <c r="G148" s="1"/>
  <c r="D141"/>
  <c r="D139"/>
  <c r="G139" s="1"/>
  <c r="D138"/>
  <c r="G138" s="1"/>
  <c r="D136"/>
  <c r="G136" s="1"/>
  <c r="D130"/>
  <c r="D126"/>
  <c r="G126" s="1"/>
  <c r="D125"/>
  <c r="G125" s="1"/>
  <c r="D123"/>
  <c r="G123" s="1"/>
  <c r="D115"/>
  <c r="D111"/>
  <c r="G111" s="1"/>
  <c r="D110"/>
  <c r="G110" s="1"/>
  <c r="D108"/>
  <c r="G108" s="1"/>
  <c r="D100" l="1"/>
  <c r="D96"/>
  <c r="G96" s="1"/>
  <c r="D95"/>
  <c r="G95" s="1"/>
  <c r="D93"/>
  <c r="G93" s="1"/>
  <c r="D85"/>
  <c r="G78"/>
  <c r="G79"/>
  <c r="G80"/>
  <c r="G81"/>
  <c r="G82"/>
  <c r="G83"/>
  <c r="G77"/>
  <c r="F69"/>
  <c r="F70"/>
  <c r="F71"/>
  <c r="F72"/>
  <c r="F73"/>
  <c r="F74"/>
  <c r="F75"/>
  <c r="F68"/>
  <c r="I221"/>
  <c r="F243" l="1"/>
  <c r="I174"/>
  <c r="I191"/>
  <c r="I217"/>
  <c r="I186"/>
  <c r="I210"/>
  <c r="I204"/>
  <c r="G245" l="1"/>
  <c r="G244" l="1"/>
  <c r="G246" s="1"/>
  <c r="F4" i="5"/>
  <c r="F5"/>
  <c r="F8"/>
  <c r="F9"/>
  <c r="F10"/>
  <c r="F11"/>
  <c r="F12"/>
  <c r="F24"/>
  <c r="F27" s="1"/>
  <c r="F29" s="1"/>
  <c r="F31" s="1"/>
  <c r="F33" s="1"/>
  <c r="G14"/>
  <c r="G15"/>
  <c r="G16"/>
  <c r="G17"/>
  <c r="G18"/>
  <c r="G19"/>
  <c r="G20"/>
  <c r="G25"/>
  <c r="F251" i="8" l="1"/>
</calcChain>
</file>

<file path=xl/sharedStrings.xml><?xml version="1.0" encoding="utf-8"?>
<sst xmlns="http://schemas.openxmlformats.org/spreadsheetml/2006/main" count="666" uniqueCount="194">
  <si>
    <t>№ п/п</t>
  </si>
  <si>
    <t>Ед. изм.</t>
  </si>
  <si>
    <t>Кол-во</t>
  </si>
  <si>
    <t>Цена, руб.</t>
  </si>
  <si>
    <t>Стоимость работ, руб.</t>
  </si>
  <si>
    <t>Стоимость материалов, руб.</t>
  </si>
  <si>
    <t>Наименование работ и материалов</t>
  </si>
  <si>
    <t>НДС 18%</t>
  </si>
  <si>
    <t>Итого по разделам</t>
  </si>
  <si>
    <t>м3</t>
  </si>
  <si>
    <t>м2</t>
  </si>
  <si>
    <t>Итого общестроительных работ</t>
  </si>
  <si>
    <t>Итого стоимость материалов</t>
  </si>
  <si>
    <t>Накладные расходы (транспорт,расходные материалы)</t>
  </si>
  <si>
    <t>%</t>
  </si>
  <si>
    <t xml:space="preserve"> Сметная прибыль </t>
  </si>
  <si>
    <t>Всего стоимость общестроительных работ</t>
  </si>
  <si>
    <t xml:space="preserve">  ВСЕГО </t>
  </si>
  <si>
    <t>шт</t>
  </si>
  <si>
    <t>Щебень фр 20*40мм</t>
  </si>
  <si>
    <t>Асфальт холодный "РЕНОСФАЛЬТ"</t>
  </si>
  <si>
    <t>тон.</t>
  </si>
  <si>
    <t>Разборка асфальтобетонного покрытия покрытия толщ. слоя 50 мм с последующим вывозом</t>
  </si>
  <si>
    <t>Частичный демонтаж входных групп (основание, плитка)</t>
  </si>
  <si>
    <t>Частичный монтаж входных групп (основание, плитка)</t>
  </si>
  <si>
    <t>Монтаж одной ступни входной группы первого подьезда.</t>
  </si>
  <si>
    <t>п.м</t>
  </si>
  <si>
    <t>Ремонт решетки огораждения цокольного этажа</t>
  </si>
  <si>
    <t>Пропитка основания битумной эмульцией</t>
  </si>
  <si>
    <t>Отсев</t>
  </si>
  <si>
    <t>Цемент ПЦ400</t>
  </si>
  <si>
    <t>Арматура стеклопластиковая</t>
  </si>
  <si>
    <t>Плитка тротуарная Паркет 300*300*30 мм, серая</t>
  </si>
  <si>
    <t>Ямочный ремонт из Асфальт холодный "РЕНОСФАЛЬТ"</t>
  </si>
  <si>
    <t>Раздел 1.Работы</t>
  </si>
  <si>
    <t>Раздел 2. Материалы</t>
  </si>
  <si>
    <t xml:space="preserve">Накладные расходы </t>
  </si>
  <si>
    <t xml:space="preserve">Эмульсия битумная ЭБК 2 </t>
  </si>
  <si>
    <t>Монтаж дорожного бордюра</t>
  </si>
  <si>
    <t>СОГЛАСОВАНО:</t>
  </si>
  <si>
    <t>Заказчик:</t>
  </si>
  <si>
    <t>Подрядчик:</t>
  </si>
  <si>
    <t>Проверил:                 (                            )</t>
  </si>
  <si>
    <t xml:space="preserve">Сметная стоимость работ </t>
  </si>
  <si>
    <t>Составила ____________/Манзурина Е.Е./</t>
  </si>
  <si>
    <t>пм</t>
  </si>
  <si>
    <t>Устройство щебеночного основания (щебень фр.20*40), толщ.слоя 80 мм</t>
  </si>
  <si>
    <t>Устройство асфальтобетонного покрытия, толщ.слоя 50 мм</t>
  </si>
  <si>
    <t>Устройство щебеночного основания, щебень фр. 40*70, толщ.слоя 210мм</t>
  </si>
  <si>
    <t>Устройство щебеночного основания, щебень фр. 20*40, толщ.слоя 80мм</t>
  </si>
  <si>
    <t>Щебень фр 40*70мм</t>
  </si>
  <si>
    <t>Дорожный бордюр 100.30.15</t>
  </si>
  <si>
    <t>тн</t>
  </si>
  <si>
    <t>Демонтаж старого бетонного дорожного бордюра</t>
  </si>
  <si>
    <t>Выемка грунта (старого щебеночного основания) с погрузкой и вывозом, толщ. слоя 350-400мм</t>
  </si>
  <si>
    <t>Устройство щебеночного основания (щебень фр.40*70), толщ.слоя 150 мм</t>
  </si>
  <si>
    <t>Доставка бордюра</t>
  </si>
  <si>
    <t>рейс</t>
  </si>
  <si>
    <t>Доставка бетона</t>
  </si>
  <si>
    <t>Доска (для опалубки)</t>
  </si>
  <si>
    <t>Горячая плотная мелкозернистая а.б смесь тип В (проезд) марка 2 с доставкой</t>
  </si>
  <si>
    <t>Тротуарный бордюр 100.20.8</t>
  </si>
  <si>
    <t xml:space="preserve">Уплотнение основания </t>
  </si>
  <si>
    <t>Пропитка основания битумной эмульсией ЭБК-2, 8гр/м2</t>
  </si>
  <si>
    <t>Пропитка основания битумной эмульсией, 0,004 гр/м2</t>
  </si>
  <si>
    <t>Выемка грунта с погрузкой и вывозом, H=0,45м</t>
  </si>
  <si>
    <t>Устройство основания из щебня фр. 20*40, толщ.слоя 150мм</t>
  </si>
  <si>
    <t>Выемка грунта, H=0,22</t>
  </si>
  <si>
    <t>Устройство основания из дресвы, толщ.слоя 50 мм</t>
  </si>
  <si>
    <t>Выкорчевка деревьев</t>
  </si>
  <si>
    <t>МАФ</t>
  </si>
  <si>
    <t>Демонтаж старого оборудования</t>
  </si>
  <si>
    <t>Бетон дорожный бордюр</t>
  </si>
  <si>
    <t>Дресва</t>
  </si>
  <si>
    <t>доп</t>
  </si>
  <si>
    <t>осн</t>
  </si>
  <si>
    <t>Устройство газона</t>
  </si>
  <si>
    <t>Бетон тротуарный бордюр</t>
  </si>
  <si>
    <t>Материалы</t>
  </si>
  <si>
    <t>МАТЕРИАЛЫ</t>
  </si>
  <si>
    <t>Грунт</t>
  </si>
  <si>
    <t>Монтаж тротуарного бордюра</t>
  </si>
  <si>
    <t xml:space="preserve">СО 5.09 Теннисный стол </t>
  </si>
  <si>
    <t>СО 5.10 Гандбольные ворота с баскетбольным щитом (1шт.) без сеток</t>
  </si>
  <si>
    <t xml:space="preserve">Сетка для баскетбольного кольца </t>
  </si>
  <si>
    <t>Сетка к гандбольным воротам</t>
  </si>
  <si>
    <t>Малышева 84</t>
  </si>
  <si>
    <t>4</t>
  </si>
  <si>
    <t>МАТЕРИАЛЫ ПД 4</t>
  </si>
  <si>
    <t>УСТРОЙСТВО ОСВЕЩЕНИЯ</t>
  </si>
  <si>
    <t>МАТЕРИАЛЫ ДЛЯ ОСВЕЩЕНИЯ</t>
  </si>
  <si>
    <t>Резиновая плитка, толщина 40мм, кв.м.</t>
  </si>
  <si>
    <t>ГО 1д Газонное ограждение со столбами (болтовое соединение между столбами, вкючен столбик 40мм*20мм, стенка 1,5мм)</t>
  </si>
  <si>
    <t>м.п.</t>
  </si>
  <si>
    <t>Ограждение 3Д Панель DFence 6 мм Zn+Pe RAL6005 с калиткой</t>
  </si>
  <si>
    <t>10</t>
  </si>
  <si>
    <t>11</t>
  </si>
  <si>
    <t xml:space="preserve">МФ 6.211 Табличка с Правилами эксплуатации детской площадкой по ГОСТ Р 52301-2013  </t>
  </si>
  <si>
    <t>МФ 6.20 Информационная стойка</t>
  </si>
  <si>
    <t xml:space="preserve">ДИК 5.052-К15 Детский игровой комплекс Н=1500, 1800 </t>
  </si>
  <si>
    <t xml:space="preserve">ДИО 1.15-15 Качели Гнездо </t>
  </si>
  <si>
    <t>ДИО 2.08-15 Карусель со сплошным сидением</t>
  </si>
  <si>
    <t xml:space="preserve">ДИО 3.25 Качалка карусель </t>
  </si>
  <si>
    <t>МФ 1.08 Лавочка без спинки разборная 2 метра</t>
  </si>
  <si>
    <t>МФ 6.05 Урна с пепельницей , объем 39 литров</t>
  </si>
  <si>
    <t>ДИК 3.08-К16 Детский игровой комплекс Атракцион Н=700</t>
  </si>
  <si>
    <t>ДИО 1.04-16 Деревянные качели (подвес в комплект не входит) одинарные</t>
  </si>
  <si>
    <t>ДИО 1.2051д Подвес металлический  на длинной цепи с термоусадкой</t>
  </si>
  <si>
    <t>ДИО 4.693.21 Качалка на пружине Пчелка</t>
  </si>
  <si>
    <t>ДИО 4.691.21 Качалка на пружине Улитка</t>
  </si>
  <si>
    <t>ДИО 3.690.21 Качалка балансир Жучки</t>
  </si>
  <si>
    <t>МФ 2.031-16 Столик со скамейками и навесом</t>
  </si>
  <si>
    <t xml:space="preserve">МФ 3.114 Песочница со счетами граффити </t>
  </si>
  <si>
    <t xml:space="preserve">СО 6.60 Навес для тренажеров. </t>
  </si>
  <si>
    <t>СО 8.30 Тренажер нержавеющий Бабочка</t>
  </si>
  <si>
    <t>СО 8.19 Тренажер Жим от груди</t>
  </si>
  <si>
    <t>СО 8.49 Тренажер нержавеющий Лигерад</t>
  </si>
  <si>
    <t>СО 8.01 Тренажер нержавеющий Эллиптический</t>
  </si>
  <si>
    <t>СО 8.12 Тренажер нержавеющий Хипс</t>
  </si>
  <si>
    <t>СО 8.22 Тренажер нержавеющий Флекс</t>
  </si>
  <si>
    <t>СО 7.22 THE BEST</t>
  </si>
  <si>
    <t>ДИО 1.05 Качели с навесом</t>
  </si>
  <si>
    <t>МФ 040 Вазон квадратный</t>
  </si>
  <si>
    <t>МФ 1.07 Лавочка со спинкой разборная 2 метра</t>
  </si>
  <si>
    <t>МАФ Зона отдыха</t>
  </si>
  <si>
    <t>Снаряд "Горка"</t>
  </si>
  <si>
    <t>Ступеньки</t>
  </si>
  <si>
    <t>Барьер 0,5 м</t>
  </si>
  <si>
    <t>Барьер 1 м</t>
  </si>
  <si>
    <t>Дог Бокс (Металлическая стойка, с ящиком дозатором для пакетов (сокетов) и гигиеническими пакетиками для утилизации экскриментов, на дворовой территории после выгула домащних собак.)</t>
  </si>
  <si>
    <t>МАФ Площадка для выгула собак</t>
  </si>
  <si>
    <t>МФ 6.01 Стойка для сушки ковров</t>
  </si>
  <si>
    <t>МФ 6.16 Стойка для сушки белья (комплект 2 шт)</t>
  </si>
  <si>
    <t>МАФ Хозяйственная площадка,</t>
  </si>
  <si>
    <t>МАФ  Детская площадка №2 для детей от 1 до 5 лет</t>
  </si>
  <si>
    <t xml:space="preserve">МАФ корт </t>
  </si>
  <si>
    <t>МАФ физкультурная площадка</t>
  </si>
  <si>
    <t>12</t>
  </si>
  <si>
    <t>13</t>
  </si>
  <si>
    <t>Итого МАФ</t>
  </si>
  <si>
    <t xml:space="preserve">Сметная прибыль </t>
  </si>
  <si>
    <t>смета</t>
  </si>
  <si>
    <t>14</t>
  </si>
  <si>
    <t>УСТРОЙСТВО СТУПЕНЕК  У ПОДЪЕЗДОВ</t>
  </si>
  <si>
    <t>МАТЕРИАЛЫ ДЛЯ ДОРОЖЕК</t>
  </si>
  <si>
    <t>МАТЕРИАЛЫ Парковка</t>
  </si>
  <si>
    <t>Монтаж тротуарного бордюра 100.20.8</t>
  </si>
  <si>
    <t>Устройство тротуарной плитки</t>
  </si>
  <si>
    <t>УСТРОЙСТВО ДОРОЖЕК ИЗ ТРОТУАРНОЙ ПЛИТКИ, S=320м2</t>
  </si>
  <si>
    <t xml:space="preserve">Выемка грунта </t>
  </si>
  <si>
    <t>Песок</t>
  </si>
  <si>
    <t>устройство основания из песка (отсева), толщина слоя 50мм</t>
  </si>
  <si>
    <t>Чернозем</t>
  </si>
  <si>
    <t>Плитка тротуарная Волна, цвет красный</t>
  </si>
  <si>
    <t>Посадка деревьев</t>
  </si>
  <si>
    <t>Сирень</t>
  </si>
  <si>
    <t>Демонтаж и вывоз дорожных плит</t>
  </si>
  <si>
    <t>Выемка грунта</t>
  </si>
  <si>
    <t>Щебень 20*40</t>
  </si>
  <si>
    <t>Асфальтобетонная смесь</t>
  </si>
  <si>
    <t>5</t>
  </si>
  <si>
    <t>15</t>
  </si>
  <si>
    <t>Итого стоимость материалов ( МАФ в том числе)</t>
  </si>
  <si>
    <t>МФ 6.05 Урна с пепельницей, объем 39 литров</t>
  </si>
  <si>
    <t>Монтаж резиновой плитки</t>
  </si>
  <si>
    <t>Монтаж ограждения 3Д Панель DFence 6 мм Zn+Pe RAL6005 с калиткой (поле для мин и футбола 20*8)</t>
  </si>
  <si>
    <t>Монтаж ограждения 3Д Панель DFence 6 мм Zn+Pe RAL6005 с калиткой</t>
  </si>
  <si>
    <t>Монтаж ограждения</t>
  </si>
  <si>
    <t>монтаж оборудования</t>
  </si>
  <si>
    <t>МАТЕРИАЛЫ расширение</t>
  </si>
  <si>
    <t>МАТЕРИАЛЫ ДП1</t>
  </si>
  <si>
    <t>МАТЕРИАЛЫ ДП2</t>
  </si>
  <si>
    <t>МАТЕРИАЛЫ СП</t>
  </si>
  <si>
    <t>МАТЕРИАЛЫ ЗО</t>
  </si>
  <si>
    <t>МАТЕРИАЛЫ ВС</t>
  </si>
  <si>
    <t>МАТЕРИАЛЫ ХП</t>
  </si>
  <si>
    <t>МАФ Детская площадка №1 для детей от 5 до 12 лет</t>
  </si>
  <si>
    <t>ОЗЕЛЕНЕНИЕ</t>
  </si>
  <si>
    <t>ДОПОЛНИТЕЛЬНО</t>
  </si>
  <si>
    <t>ХОЗЯЙСТВЕННАЯ ПЛОЩАДКА, размер 12*3м (36 м.кв)</t>
  </si>
  <si>
    <t>ПЛОЩАДКА ДЛЯ ВЫГУЛА СОБАК, размер 12*8м (96 м.кв.)</t>
  </si>
  <si>
    <t>ЗОНА ОТДЫХА,  размер 4*19,5 м (75 м.кв.)</t>
  </si>
  <si>
    <t>СПОРТИВНАЯ ПЛОЩАДКА, размером 20*13м (260 м.кв)</t>
  </si>
  <si>
    <t>ДЕТСКАЯ ПЛОЩАДКА №2 для детей от 1 до 5 лет, размером 8*19м (152 м.кв)</t>
  </si>
  <si>
    <t>ДЕТСКАЯ ПЛОЩАДКА №1 для детей от 5 до 12 лет, размер 30*13м (390 м.кв)</t>
  </si>
  <si>
    <t>РАСШИРЕНИЕ ПРОЕЗЖЕЙ ЧАСТИ ПОД ПАРКОВКУ, S=241,5м2</t>
  </si>
  <si>
    <t>ПАРКОВКА ОТДЕЛЬНАЯ, S=121,5м2 (рядом с заездом во двор со стороны ул. Мамина Сибиряка)</t>
  </si>
  <si>
    <t>ПД 4, ПРОЕЗД,  S=1824м2</t>
  </si>
  <si>
    <t xml:space="preserve">  ВСЕГО  (стоимость освещения  уточняется )</t>
  </si>
  <si>
    <t>Всего стоимость материалов (Без МАФ)</t>
  </si>
  <si>
    <t>подготовка эскизного проекта , составление сметы</t>
  </si>
  <si>
    <t>экспертиза сметы (ориентировочный расечт)</t>
  </si>
  <si>
    <t>оплачивает дом</t>
  </si>
  <si>
    <t>итого затраты по КС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</si>
</sst>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&quot;₽&quot;"/>
  </numFmts>
  <fonts count="16"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8" xfId="0" applyFont="1" applyBorder="1"/>
    <xf numFmtId="0" fontId="5" fillId="0" borderId="15" xfId="0" applyFont="1" applyBorder="1"/>
    <xf numFmtId="0" fontId="1" fillId="0" borderId="4" xfId="0" applyFont="1" applyBorder="1"/>
    <xf numFmtId="4" fontId="1" fillId="0" borderId="2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/>
    <xf numFmtId="0" fontId="3" fillId="0" borderId="23" xfId="0" applyFont="1" applyBorder="1"/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7" xfId="0" applyFont="1" applyBorder="1"/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9" fillId="2" borderId="0" xfId="0" applyFont="1" applyFill="1"/>
    <xf numFmtId="165" fontId="9" fillId="2" borderId="0" xfId="0" applyNumberFormat="1" applyFont="1" applyFill="1" applyAlignment="1"/>
    <xf numFmtId="165" fontId="9" fillId="2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9" fillId="2" borderId="0" xfId="0" applyFont="1" applyFill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0" fontId="9" fillId="2" borderId="1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2" fontId="7" fillId="2" borderId="0" xfId="0" applyNumberFormat="1" applyFont="1" applyFill="1" applyBorder="1"/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1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/>
    <xf numFmtId="0" fontId="10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3" fillId="5" borderId="1" xfId="2" applyFont="1" applyFill="1" applyBorder="1" applyAlignment="1">
      <alignment horizontal="left" vertical="center"/>
    </xf>
    <xf numFmtId="0" fontId="13" fillId="5" borderId="1" xfId="2" applyFont="1" applyFill="1" applyBorder="1" applyAlignment="1">
      <alignment vertical="center"/>
    </xf>
    <xf numFmtId="0" fontId="10" fillId="5" borderId="1" xfId="2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/>
    </xf>
    <xf numFmtId="4" fontId="12" fillId="2" borderId="0" xfId="1" applyNumberFormat="1" applyFont="1" applyFill="1" applyBorder="1" applyAlignment="1"/>
    <xf numFmtId="4" fontId="10" fillId="2" borderId="0" xfId="0" applyNumberFormat="1" applyFont="1" applyFill="1" applyBorder="1" applyAlignment="1"/>
    <xf numFmtId="4" fontId="9" fillId="2" borderId="6" xfId="0" applyNumberFormat="1" applyFont="1" applyFill="1" applyBorder="1" applyAlignme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 wrapText="1"/>
    </xf>
    <xf numFmtId="4" fontId="11" fillId="2" borderId="10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top"/>
    </xf>
    <xf numFmtId="4" fontId="11" fillId="2" borderId="0" xfId="0" applyNumberFormat="1" applyFont="1" applyFill="1" applyAlignment="1"/>
    <xf numFmtId="4" fontId="9" fillId="2" borderId="1" xfId="0" applyNumberFormat="1" applyFont="1" applyFill="1" applyBorder="1" applyAlignment="1"/>
    <xf numFmtId="4" fontId="9" fillId="2" borderId="0" xfId="0" applyNumberFormat="1" applyFont="1" applyFill="1" applyAlignment="1"/>
    <xf numFmtId="4" fontId="9" fillId="2" borderId="0" xfId="0" applyNumberFormat="1" applyFont="1" applyFill="1" applyBorder="1" applyAlignment="1">
      <alignment horizontal="right"/>
    </xf>
    <xf numFmtId="4" fontId="9" fillId="2" borderId="6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4" fontId="11" fillId="2" borderId="0" xfId="0" applyNumberFormat="1" applyFont="1" applyFill="1" applyAlignment="1">
      <alignment horizontal="right"/>
    </xf>
    <xf numFmtId="4" fontId="11" fillId="4" borderId="10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wrapText="1"/>
    </xf>
    <xf numFmtId="0" fontId="13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Alignment="1">
      <alignment horizont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10" xfId="0" applyNumberFormat="1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wrapText="1"/>
    </xf>
    <xf numFmtId="49" fontId="8" fillId="4" borderId="1" xfId="0" applyNumberFormat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10" fillId="4" borderId="10" xfId="0" applyNumberFormat="1" applyFont="1" applyFill="1" applyBorder="1" applyAlignment="1">
      <alignment vertical="center"/>
    </xf>
    <xf numFmtId="4" fontId="10" fillId="4" borderId="10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/>
    <xf numFmtId="4" fontId="11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center"/>
    </xf>
    <xf numFmtId="4" fontId="15" fillId="2" borderId="4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4" fontId="9" fillId="2" borderId="0" xfId="0" applyNumberFormat="1" applyFont="1" applyFill="1"/>
    <xf numFmtId="0" fontId="11" fillId="2" borderId="0" xfId="0" applyFont="1" applyFill="1" applyAlignment="1">
      <alignment horizontal="center" wrapText="1"/>
    </xf>
    <xf numFmtId="4" fontId="11" fillId="2" borderId="0" xfId="0" applyNumberFormat="1" applyFont="1" applyFill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</cellXfs>
  <cellStyles count="3">
    <cellStyle name="TableStyleLight1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CCCFF"/>
      <color rgb="FF99FFCC"/>
      <color rgb="FFFF99CC"/>
      <color rgb="FFFFCCFF"/>
      <color rgb="FFCCFF66"/>
      <color rgb="FFFF99FF"/>
      <color rgb="FFFFFFCC"/>
      <color rgb="FFA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5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38550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590550</xdr:colOff>
      <xdr:row>251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2975" y="137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7"/>
  <sheetViews>
    <sheetView tabSelected="1" zoomScale="175" zoomScaleNormal="17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I6" sqref="I6"/>
    </sheetView>
  </sheetViews>
  <sheetFormatPr defaultRowHeight="12.75"/>
  <cols>
    <col min="1" max="1" width="5" style="171" customWidth="1"/>
    <col min="2" max="2" width="26.28515625" style="71" customWidth="1"/>
    <col min="3" max="3" width="7" style="111" customWidth="1"/>
    <col min="4" max="4" width="5.7109375" style="111" customWidth="1"/>
    <col min="5" max="5" width="13.28515625" style="158" customWidth="1"/>
    <col min="6" max="6" width="12.140625" style="61" customWidth="1"/>
    <col min="7" max="7" width="14.140625" style="61" customWidth="1"/>
    <col min="8" max="8" width="6.140625" style="84" customWidth="1"/>
    <col min="9" max="9" width="13.7109375" style="110" customWidth="1"/>
    <col min="10" max="10" width="20.28515625" style="52" customWidth="1"/>
    <col min="11" max="11" width="10.28515625" style="50" customWidth="1"/>
    <col min="12" max="16384" width="9.140625" style="110"/>
  </cols>
  <sheetData>
    <row r="1" spans="1:11">
      <c r="A1" s="169"/>
      <c r="B1" s="215"/>
      <c r="C1" s="216"/>
      <c r="D1" s="215"/>
      <c r="E1" s="217"/>
      <c r="F1" s="217"/>
      <c r="G1" s="217"/>
      <c r="H1" s="109"/>
    </row>
    <row r="2" spans="1:11">
      <c r="A2" s="218" t="s">
        <v>39</v>
      </c>
      <c r="B2" s="218"/>
      <c r="C2" s="56"/>
      <c r="D2" s="56"/>
      <c r="E2" s="147"/>
      <c r="F2" s="159"/>
      <c r="G2" s="159"/>
      <c r="H2" s="109"/>
    </row>
    <row r="3" spans="1:11">
      <c r="A3" s="170" t="s">
        <v>40</v>
      </c>
      <c r="B3" s="57"/>
      <c r="C3" s="56"/>
      <c r="D3" s="56"/>
      <c r="E3" s="148" t="s">
        <v>41</v>
      </c>
      <c r="F3" s="159"/>
      <c r="G3" s="159"/>
      <c r="H3" s="109"/>
    </row>
    <row r="4" spans="1:11">
      <c r="A4" s="219" t="s">
        <v>43</v>
      </c>
      <c r="B4" s="220"/>
      <c r="C4" s="221"/>
      <c r="D4" s="220"/>
      <c r="E4" s="222"/>
      <c r="F4" s="222"/>
      <c r="G4" s="222"/>
      <c r="H4" s="110"/>
    </row>
    <row r="5" spans="1:11">
      <c r="A5" s="223" t="s">
        <v>86</v>
      </c>
      <c r="B5" s="223"/>
      <c r="C5" s="223"/>
      <c r="D5" s="223"/>
      <c r="E5" s="224"/>
      <c r="F5" s="224"/>
      <c r="G5" s="224"/>
      <c r="H5" s="112"/>
    </row>
    <row r="6" spans="1:11">
      <c r="B6" s="59"/>
      <c r="C6" s="60"/>
      <c r="D6" s="60"/>
      <c r="E6" s="149"/>
      <c r="F6" s="160"/>
      <c r="H6" s="61"/>
    </row>
    <row r="7" spans="1:11" s="50" customFormat="1" ht="38.25">
      <c r="A7" s="172" t="s">
        <v>0</v>
      </c>
      <c r="B7" s="63" t="s">
        <v>6</v>
      </c>
      <c r="C7" s="63" t="s">
        <v>1</v>
      </c>
      <c r="D7" s="63" t="s">
        <v>2</v>
      </c>
      <c r="E7" s="150" t="s">
        <v>3</v>
      </c>
      <c r="F7" s="150" t="s">
        <v>4</v>
      </c>
      <c r="G7" s="150" t="s">
        <v>5</v>
      </c>
      <c r="H7" s="106" t="s">
        <v>141</v>
      </c>
      <c r="J7" s="53"/>
    </row>
    <row r="8" spans="1:11">
      <c r="A8" s="173">
        <v>1</v>
      </c>
      <c r="B8" s="123" t="s">
        <v>187</v>
      </c>
      <c r="C8" s="124"/>
      <c r="D8" s="124"/>
      <c r="E8" s="151"/>
      <c r="F8" s="161"/>
      <c r="G8" s="161"/>
      <c r="H8" s="107" t="s">
        <v>75</v>
      </c>
      <c r="J8" s="54"/>
    </row>
    <row r="9" spans="1:11" s="47" customFormat="1" ht="25.5">
      <c r="A9" s="174"/>
      <c r="B9" s="64" t="s">
        <v>53</v>
      </c>
      <c r="C9" s="65" t="s">
        <v>45</v>
      </c>
      <c r="D9" s="65">
        <v>440</v>
      </c>
      <c r="E9" s="152">
        <v>400</v>
      </c>
      <c r="F9" s="120">
        <f>E9*D9</f>
        <v>176000</v>
      </c>
      <c r="G9" s="120"/>
      <c r="H9" s="107" t="s">
        <v>75</v>
      </c>
      <c r="J9" s="54"/>
      <c r="K9" s="50"/>
    </row>
    <row r="10" spans="1:11" s="47" customFormat="1" ht="51">
      <c r="A10" s="174"/>
      <c r="B10" s="64" t="s">
        <v>54</v>
      </c>
      <c r="C10" s="65" t="s">
        <v>9</v>
      </c>
      <c r="D10" s="65">
        <f>1824*0.35</f>
        <v>638.4</v>
      </c>
      <c r="E10" s="152">
        <v>850</v>
      </c>
      <c r="F10" s="120">
        <f t="shared" ref="F10:F15" si="0">E10*D10</f>
        <v>542640</v>
      </c>
      <c r="G10" s="120"/>
      <c r="H10" s="107" t="s">
        <v>75</v>
      </c>
      <c r="J10" s="54"/>
      <c r="K10" s="50"/>
    </row>
    <row r="11" spans="1:11" s="47" customFormat="1">
      <c r="A11" s="174"/>
      <c r="B11" s="64" t="s">
        <v>38</v>
      </c>
      <c r="C11" s="65" t="s">
        <v>45</v>
      </c>
      <c r="D11" s="65">
        <v>440</v>
      </c>
      <c r="E11" s="152">
        <v>480</v>
      </c>
      <c r="F11" s="120">
        <f t="shared" si="0"/>
        <v>211200</v>
      </c>
      <c r="G11" s="120"/>
      <c r="H11" s="107" t="s">
        <v>75</v>
      </c>
      <c r="J11" s="54"/>
      <c r="K11" s="50"/>
    </row>
    <row r="12" spans="1:11" s="47" customFormat="1" ht="38.25">
      <c r="A12" s="174"/>
      <c r="B12" s="64" t="s">
        <v>55</v>
      </c>
      <c r="C12" s="65" t="s">
        <v>10</v>
      </c>
      <c r="D12" s="65">
        <v>1824</v>
      </c>
      <c r="E12" s="152">
        <v>250</v>
      </c>
      <c r="F12" s="120">
        <f t="shared" si="0"/>
        <v>456000</v>
      </c>
      <c r="G12" s="120"/>
      <c r="H12" s="107" t="s">
        <v>75</v>
      </c>
      <c r="J12" s="54"/>
      <c r="K12" s="50"/>
    </row>
    <row r="13" spans="1:11" s="47" customFormat="1" ht="38.25">
      <c r="A13" s="174"/>
      <c r="B13" s="64" t="s">
        <v>46</v>
      </c>
      <c r="C13" s="65" t="s">
        <v>10</v>
      </c>
      <c r="D13" s="65">
        <v>1824</v>
      </c>
      <c r="E13" s="152">
        <v>250</v>
      </c>
      <c r="F13" s="120">
        <f t="shared" si="0"/>
        <v>456000</v>
      </c>
      <c r="G13" s="120"/>
      <c r="H13" s="107" t="s">
        <v>75</v>
      </c>
      <c r="J13" s="54"/>
      <c r="K13" s="50"/>
    </row>
    <row r="14" spans="1:11" s="47" customFormat="1" ht="38.25">
      <c r="A14" s="174"/>
      <c r="B14" s="64" t="s">
        <v>64</v>
      </c>
      <c r="C14" s="65" t="s">
        <v>10</v>
      </c>
      <c r="D14" s="65">
        <v>1824</v>
      </c>
      <c r="E14" s="152">
        <v>30</v>
      </c>
      <c r="F14" s="120">
        <f t="shared" si="0"/>
        <v>54720</v>
      </c>
      <c r="G14" s="120"/>
      <c r="H14" s="107" t="s">
        <v>75</v>
      </c>
      <c r="J14" s="54"/>
      <c r="K14" s="50"/>
    </row>
    <row r="15" spans="1:11" s="47" customFormat="1" ht="38.25">
      <c r="A15" s="174"/>
      <c r="B15" s="64" t="s">
        <v>47</v>
      </c>
      <c r="C15" s="65" t="s">
        <v>10</v>
      </c>
      <c r="D15" s="65">
        <v>1824</v>
      </c>
      <c r="E15" s="152">
        <v>370</v>
      </c>
      <c r="F15" s="120">
        <f t="shared" si="0"/>
        <v>674880</v>
      </c>
      <c r="G15" s="120"/>
      <c r="H15" s="107" t="s">
        <v>75</v>
      </c>
      <c r="J15" s="54"/>
      <c r="K15" s="50"/>
    </row>
    <row r="16" spans="1:11" ht="15" customHeight="1">
      <c r="A16" s="173">
        <v>1.1000000000000001</v>
      </c>
      <c r="B16" s="180" t="s">
        <v>88</v>
      </c>
      <c r="C16" s="181"/>
      <c r="D16" s="181"/>
      <c r="E16" s="182"/>
      <c r="F16" s="182"/>
      <c r="G16" s="182"/>
      <c r="H16" s="107" t="s">
        <v>75</v>
      </c>
      <c r="J16" s="54"/>
    </row>
    <row r="17" spans="1:11" s="47" customFormat="1">
      <c r="A17" s="174"/>
      <c r="B17" s="64" t="s">
        <v>50</v>
      </c>
      <c r="C17" s="65" t="s">
        <v>9</v>
      </c>
      <c r="D17" s="66">
        <f>D12*0.15*1.2</f>
        <v>328.31999999999994</v>
      </c>
      <c r="E17" s="152">
        <v>1000</v>
      </c>
      <c r="F17" s="162"/>
      <c r="G17" s="120">
        <f>E17*D17</f>
        <v>328319.99999999994</v>
      </c>
      <c r="H17" s="107" t="s">
        <v>75</v>
      </c>
      <c r="J17" s="54"/>
      <c r="K17" s="50"/>
    </row>
    <row r="18" spans="1:11" s="47" customFormat="1">
      <c r="A18" s="174"/>
      <c r="B18" s="64" t="s">
        <v>19</v>
      </c>
      <c r="C18" s="65" t="s">
        <v>9</v>
      </c>
      <c r="D18" s="66">
        <f>D13*0.08*1.2</f>
        <v>175.10400000000001</v>
      </c>
      <c r="E18" s="152">
        <v>1000</v>
      </c>
      <c r="F18" s="162"/>
      <c r="G18" s="120">
        <f t="shared" ref="G18:G24" si="1">E18*D18</f>
        <v>175104</v>
      </c>
      <c r="H18" s="107" t="s">
        <v>75</v>
      </c>
      <c r="J18" s="54"/>
      <c r="K18" s="50"/>
    </row>
    <row r="19" spans="1:11" s="47" customFormat="1">
      <c r="A19" s="174"/>
      <c r="B19" s="64" t="s">
        <v>37</v>
      </c>
      <c r="C19" s="65" t="s">
        <v>9</v>
      </c>
      <c r="D19" s="66">
        <f>D14*0.004</f>
        <v>7.2960000000000003</v>
      </c>
      <c r="E19" s="152">
        <v>19500</v>
      </c>
      <c r="F19" s="162"/>
      <c r="G19" s="120">
        <f t="shared" si="1"/>
        <v>142272</v>
      </c>
      <c r="H19" s="107" t="s">
        <v>75</v>
      </c>
      <c r="J19" s="54"/>
      <c r="K19" s="50"/>
    </row>
    <row r="20" spans="1:11" s="47" customFormat="1" ht="51">
      <c r="A20" s="174"/>
      <c r="B20" s="64" t="s">
        <v>60</v>
      </c>
      <c r="C20" s="65" t="s">
        <v>52</v>
      </c>
      <c r="D20" s="66">
        <f>D15*0.05*2.2</f>
        <v>200.64000000000001</v>
      </c>
      <c r="E20" s="152">
        <v>4000</v>
      </c>
      <c r="F20" s="162"/>
      <c r="G20" s="120">
        <f t="shared" si="1"/>
        <v>802560.00000000012</v>
      </c>
      <c r="H20" s="107" t="s">
        <v>75</v>
      </c>
      <c r="J20" s="54"/>
      <c r="K20" s="50"/>
    </row>
    <row r="21" spans="1:11" s="47" customFormat="1">
      <c r="A21" s="174"/>
      <c r="B21" s="64" t="s">
        <v>51</v>
      </c>
      <c r="C21" s="65" t="s">
        <v>45</v>
      </c>
      <c r="D21" s="66">
        <v>440</v>
      </c>
      <c r="E21" s="152">
        <v>380</v>
      </c>
      <c r="F21" s="162"/>
      <c r="G21" s="120">
        <f t="shared" si="1"/>
        <v>167200</v>
      </c>
      <c r="H21" s="107" t="s">
        <v>75</v>
      </c>
      <c r="J21" s="54"/>
      <c r="K21" s="50"/>
    </row>
    <row r="22" spans="1:11" s="47" customFormat="1">
      <c r="A22" s="174"/>
      <c r="B22" s="64" t="s">
        <v>72</v>
      </c>
      <c r="C22" s="65" t="s">
        <v>9</v>
      </c>
      <c r="D22" s="66">
        <f>D21*0.043</f>
        <v>18.919999999999998</v>
      </c>
      <c r="E22" s="152">
        <v>3800</v>
      </c>
      <c r="F22" s="162"/>
      <c r="G22" s="120">
        <f t="shared" si="1"/>
        <v>71896</v>
      </c>
      <c r="H22" s="107" t="s">
        <v>75</v>
      </c>
      <c r="J22" s="54"/>
      <c r="K22" s="50"/>
    </row>
    <row r="23" spans="1:11" s="47" customFormat="1">
      <c r="A23" s="174"/>
      <c r="B23" s="64" t="s">
        <v>56</v>
      </c>
      <c r="C23" s="65" t="s">
        <v>57</v>
      </c>
      <c r="D23" s="66">
        <v>1</v>
      </c>
      <c r="E23" s="152">
        <v>6500</v>
      </c>
      <c r="F23" s="162"/>
      <c r="G23" s="120">
        <f t="shared" si="1"/>
        <v>6500</v>
      </c>
      <c r="H23" s="107" t="s">
        <v>75</v>
      </c>
      <c r="J23" s="54"/>
      <c r="K23" s="50"/>
    </row>
    <row r="24" spans="1:11" s="47" customFormat="1">
      <c r="A24" s="174"/>
      <c r="B24" s="64" t="s">
        <v>58</v>
      </c>
      <c r="C24" s="65" t="s">
        <v>57</v>
      </c>
      <c r="D24" s="66">
        <v>1</v>
      </c>
      <c r="E24" s="152">
        <v>4500</v>
      </c>
      <c r="F24" s="162"/>
      <c r="G24" s="120">
        <f t="shared" si="1"/>
        <v>4500</v>
      </c>
      <c r="H24" s="107" t="s">
        <v>75</v>
      </c>
      <c r="J24" s="54"/>
      <c r="K24" s="50"/>
    </row>
    <row r="25" spans="1:11">
      <c r="A25" s="173">
        <v>2</v>
      </c>
      <c r="B25" s="188" t="s">
        <v>186</v>
      </c>
      <c r="C25" s="138"/>
      <c r="D25" s="138"/>
      <c r="E25" s="190"/>
      <c r="F25" s="190"/>
      <c r="G25" s="190"/>
      <c r="H25" s="67" t="s">
        <v>74</v>
      </c>
      <c r="J25" s="54"/>
    </row>
    <row r="26" spans="1:11" s="47" customFormat="1" ht="25.5">
      <c r="A26" s="174"/>
      <c r="B26" s="64" t="s">
        <v>53</v>
      </c>
      <c r="C26" s="65" t="s">
        <v>45</v>
      </c>
      <c r="D26" s="65">
        <v>94</v>
      </c>
      <c r="E26" s="152">
        <v>350</v>
      </c>
      <c r="F26" s="120">
        <f t="shared" ref="F26:F32" si="2">E26*D26</f>
        <v>32900</v>
      </c>
      <c r="G26" s="120"/>
      <c r="H26" s="67" t="s">
        <v>74</v>
      </c>
      <c r="J26" s="54"/>
      <c r="K26" s="50"/>
    </row>
    <row r="27" spans="1:11" s="47" customFormat="1" ht="51">
      <c r="A27" s="174"/>
      <c r="B27" s="64" t="s">
        <v>54</v>
      </c>
      <c r="C27" s="65" t="s">
        <v>9</v>
      </c>
      <c r="D27" s="65">
        <f>121.5*0.35</f>
        <v>42.524999999999999</v>
      </c>
      <c r="E27" s="152">
        <v>850</v>
      </c>
      <c r="F27" s="120">
        <f t="shared" si="2"/>
        <v>36146.25</v>
      </c>
      <c r="G27" s="120"/>
      <c r="H27" s="67" t="s">
        <v>74</v>
      </c>
      <c r="J27" s="54"/>
      <c r="K27" s="50"/>
    </row>
    <row r="28" spans="1:11" s="47" customFormat="1">
      <c r="A28" s="174"/>
      <c r="B28" s="64" t="s">
        <v>38</v>
      </c>
      <c r="C28" s="65" t="s">
        <v>45</v>
      </c>
      <c r="D28" s="65">
        <v>94</v>
      </c>
      <c r="E28" s="152">
        <v>480</v>
      </c>
      <c r="F28" s="120">
        <f t="shared" si="2"/>
        <v>45120</v>
      </c>
      <c r="G28" s="120"/>
      <c r="H28" s="67" t="s">
        <v>74</v>
      </c>
      <c r="J28" s="54"/>
      <c r="K28" s="50"/>
    </row>
    <row r="29" spans="1:11" s="47" customFormat="1" ht="38.25">
      <c r="A29" s="174"/>
      <c r="B29" s="64" t="s">
        <v>55</v>
      </c>
      <c r="C29" s="65" t="s">
        <v>10</v>
      </c>
      <c r="D29" s="65">
        <v>121.5</v>
      </c>
      <c r="E29" s="152">
        <v>250</v>
      </c>
      <c r="F29" s="120">
        <f t="shared" si="2"/>
        <v>30375</v>
      </c>
      <c r="G29" s="120"/>
      <c r="H29" s="67" t="s">
        <v>74</v>
      </c>
      <c r="J29" s="54"/>
      <c r="K29" s="50"/>
    </row>
    <row r="30" spans="1:11" s="47" customFormat="1" ht="38.25">
      <c r="A30" s="174"/>
      <c r="B30" s="64" t="s">
        <v>46</v>
      </c>
      <c r="C30" s="65" t="s">
        <v>10</v>
      </c>
      <c r="D30" s="65">
        <v>121.5</v>
      </c>
      <c r="E30" s="152">
        <v>250</v>
      </c>
      <c r="F30" s="120">
        <f t="shared" si="2"/>
        <v>30375</v>
      </c>
      <c r="G30" s="120"/>
      <c r="H30" s="67" t="s">
        <v>74</v>
      </c>
      <c r="J30" s="54"/>
      <c r="K30" s="50"/>
    </row>
    <row r="31" spans="1:11" s="47" customFormat="1" ht="38.25">
      <c r="A31" s="174"/>
      <c r="B31" s="64" t="s">
        <v>64</v>
      </c>
      <c r="C31" s="65" t="s">
        <v>10</v>
      </c>
      <c r="D31" s="65">
        <v>121.5</v>
      </c>
      <c r="E31" s="152">
        <v>30</v>
      </c>
      <c r="F31" s="120">
        <f t="shared" si="2"/>
        <v>3645</v>
      </c>
      <c r="G31" s="120"/>
      <c r="H31" s="67" t="s">
        <v>74</v>
      </c>
      <c r="J31" s="54"/>
      <c r="K31" s="50"/>
    </row>
    <row r="32" spans="1:11" s="47" customFormat="1" ht="38.25">
      <c r="A32" s="174"/>
      <c r="B32" s="64" t="s">
        <v>47</v>
      </c>
      <c r="C32" s="65" t="s">
        <v>10</v>
      </c>
      <c r="D32" s="65">
        <v>121.5</v>
      </c>
      <c r="E32" s="152">
        <v>370</v>
      </c>
      <c r="F32" s="120">
        <f t="shared" si="2"/>
        <v>44955</v>
      </c>
      <c r="G32" s="120"/>
      <c r="H32" s="67" t="s">
        <v>74</v>
      </c>
      <c r="J32" s="54"/>
      <c r="K32" s="50"/>
    </row>
    <row r="33" spans="1:11" ht="15" customHeight="1">
      <c r="A33" s="173">
        <v>2.1</v>
      </c>
      <c r="B33" s="180" t="s">
        <v>145</v>
      </c>
      <c r="C33" s="181"/>
      <c r="D33" s="181"/>
      <c r="E33" s="182"/>
      <c r="F33" s="182"/>
      <c r="G33" s="182"/>
      <c r="H33" s="67" t="s">
        <v>74</v>
      </c>
      <c r="J33" s="54"/>
    </row>
    <row r="34" spans="1:11" s="47" customFormat="1">
      <c r="A34" s="174"/>
      <c r="B34" s="64" t="s">
        <v>50</v>
      </c>
      <c r="C34" s="65" t="s">
        <v>9</v>
      </c>
      <c r="D34" s="66">
        <f>121.5*0.15*1.2</f>
        <v>21.869999999999997</v>
      </c>
      <c r="E34" s="152">
        <v>1000</v>
      </c>
      <c r="F34" s="162"/>
      <c r="G34" s="120">
        <f t="shared" ref="G34:G42" si="3">E34*D34</f>
        <v>21869.999999999996</v>
      </c>
      <c r="H34" s="67" t="s">
        <v>74</v>
      </c>
      <c r="J34" s="54"/>
      <c r="K34" s="50"/>
    </row>
    <row r="35" spans="1:11" s="47" customFormat="1">
      <c r="A35" s="174"/>
      <c r="B35" s="64" t="s">
        <v>19</v>
      </c>
      <c r="C35" s="65" t="s">
        <v>9</v>
      </c>
      <c r="D35" s="66">
        <f>D30*0.08*1.2</f>
        <v>11.664</v>
      </c>
      <c r="E35" s="152">
        <v>1000</v>
      </c>
      <c r="F35" s="162"/>
      <c r="G35" s="120">
        <f t="shared" si="3"/>
        <v>11664</v>
      </c>
      <c r="H35" s="67" t="s">
        <v>74</v>
      </c>
      <c r="J35" s="54"/>
      <c r="K35" s="50"/>
    </row>
    <row r="36" spans="1:11" s="47" customFormat="1">
      <c r="A36" s="174"/>
      <c r="B36" s="64" t="s">
        <v>37</v>
      </c>
      <c r="C36" s="65" t="s">
        <v>9</v>
      </c>
      <c r="D36" s="66">
        <f>D31*0.004</f>
        <v>0.48599999999999999</v>
      </c>
      <c r="E36" s="152">
        <v>19500</v>
      </c>
      <c r="F36" s="162"/>
      <c r="G36" s="120">
        <f t="shared" si="3"/>
        <v>9477</v>
      </c>
      <c r="H36" s="67" t="s">
        <v>74</v>
      </c>
      <c r="J36" s="54"/>
      <c r="K36" s="50"/>
    </row>
    <row r="37" spans="1:11" s="47" customFormat="1" ht="51">
      <c r="A37" s="174"/>
      <c r="B37" s="64" t="s">
        <v>60</v>
      </c>
      <c r="C37" s="65" t="s">
        <v>52</v>
      </c>
      <c r="D37" s="66">
        <f>D32*0.05*2.2</f>
        <v>13.365000000000002</v>
      </c>
      <c r="E37" s="152">
        <v>4000</v>
      </c>
      <c r="F37" s="162"/>
      <c r="G37" s="120">
        <f t="shared" si="3"/>
        <v>53460.000000000007</v>
      </c>
      <c r="H37" s="67" t="s">
        <v>74</v>
      </c>
      <c r="J37" s="54"/>
      <c r="K37" s="50"/>
    </row>
    <row r="38" spans="1:11" s="47" customFormat="1">
      <c r="A38" s="174"/>
      <c r="B38" s="64" t="s">
        <v>51</v>
      </c>
      <c r="C38" s="65" t="s">
        <v>45</v>
      </c>
      <c r="D38" s="66">
        <f>D28</f>
        <v>94</v>
      </c>
      <c r="E38" s="152">
        <v>380</v>
      </c>
      <c r="F38" s="162"/>
      <c r="G38" s="120">
        <f t="shared" si="3"/>
        <v>35720</v>
      </c>
      <c r="H38" s="67" t="s">
        <v>74</v>
      </c>
      <c r="J38" s="54"/>
      <c r="K38" s="50"/>
    </row>
    <row r="39" spans="1:11" s="47" customFormat="1">
      <c r="A39" s="174"/>
      <c r="B39" s="64" t="s">
        <v>72</v>
      </c>
      <c r="C39" s="65" t="s">
        <v>9</v>
      </c>
      <c r="D39" s="66">
        <f>D38*0.043</f>
        <v>4.0419999999999998</v>
      </c>
      <c r="E39" s="152">
        <v>3800</v>
      </c>
      <c r="F39" s="162"/>
      <c r="G39" s="120">
        <f t="shared" si="3"/>
        <v>15359.599999999999</v>
      </c>
      <c r="H39" s="67" t="s">
        <v>74</v>
      </c>
      <c r="J39" s="54"/>
      <c r="K39" s="50"/>
    </row>
    <row r="40" spans="1:11" s="47" customFormat="1">
      <c r="A40" s="174"/>
      <c r="B40" s="64" t="s">
        <v>56</v>
      </c>
      <c r="C40" s="65" t="s">
        <v>57</v>
      </c>
      <c r="D40" s="66">
        <v>1</v>
      </c>
      <c r="E40" s="152">
        <v>6500</v>
      </c>
      <c r="F40" s="162"/>
      <c r="G40" s="120">
        <f t="shared" si="3"/>
        <v>6500</v>
      </c>
      <c r="H40" s="67" t="s">
        <v>74</v>
      </c>
      <c r="J40" s="54"/>
      <c r="K40" s="50"/>
    </row>
    <row r="41" spans="1:11" s="47" customFormat="1">
      <c r="A41" s="174"/>
      <c r="B41" s="64" t="s">
        <v>58</v>
      </c>
      <c r="C41" s="65" t="s">
        <v>57</v>
      </c>
      <c r="D41" s="66">
        <v>1</v>
      </c>
      <c r="E41" s="152">
        <v>4500</v>
      </c>
      <c r="F41" s="162"/>
      <c r="G41" s="120">
        <f t="shared" si="3"/>
        <v>4500</v>
      </c>
      <c r="H41" s="67" t="s">
        <v>74</v>
      </c>
      <c r="J41" s="54"/>
      <c r="K41" s="50"/>
    </row>
    <row r="42" spans="1:11" s="47" customFormat="1">
      <c r="A42" s="174"/>
      <c r="B42" s="64" t="s">
        <v>59</v>
      </c>
      <c r="C42" s="65" t="s">
        <v>9</v>
      </c>
      <c r="D42" s="66">
        <v>1</v>
      </c>
      <c r="E42" s="152">
        <v>9500</v>
      </c>
      <c r="F42" s="162"/>
      <c r="G42" s="120">
        <f t="shared" si="3"/>
        <v>9500</v>
      </c>
      <c r="H42" s="67" t="s">
        <v>74</v>
      </c>
      <c r="J42" s="54"/>
      <c r="K42" s="50"/>
    </row>
    <row r="43" spans="1:11">
      <c r="A43" s="173">
        <v>3</v>
      </c>
      <c r="B43" s="123" t="s">
        <v>185</v>
      </c>
      <c r="C43" s="124"/>
      <c r="D43" s="124"/>
      <c r="E43" s="151"/>
      <c r="F43" s="161"/>
      <c r="G43" s="161"/>
      <c r="H43" s="67" t="s">
        <v>74</v>
      </c>
      <c r="J43" s="54"/>
    </row>
    <row r="44" spans="1:11" s="47" customFormat="1" ht="25.5">
      <c r="A44" s="174"/>
      <c r="B44" s="64" t="s">
        <v>65</v>
      </c>
      <c r="C44" s="65" t="s">
        <v>9</v>
      </c>
      <c r="D44" s="65">
        <f>241.5*0.45</f>
        <v>108.675</v>
      </c>
      <c r="E44" s="152">
        <v>850</v>
      </c>
      <c r="F44" s="120">
        <f t="shared" ref="F44:F49" si="4">E44*D44</f>
        <v>92373.75</v>
      </c>
      <c r="G44" s="120"/>
      <c r="H44" s="67" t="s">
        <v>74</v>
      </c>
      <c r="J44" s="54"/>
      <c r="K44" s="50"/>
    </row>
    <row r="45" spans="1:11" s="47" customFormat="1">
      <c r="A45" s="174"/>
      <c r="B45" s="64" t="s">
        <v>62</v>
      </c>
      <c r="C45" s="65" t="s">
        <v>10</v>
      </c>
      <c r="D45" s="65">
        <v>241.5</v>
      </c>
      <c r="E45" s="152">
        <v>30</v>
      </c>
      <c r="F45" s="120">
        <f t="shared" si="4"/>
        <v>7245</v>
      </c>
      <c r="G45" s="120"/>
      <c r="H45" s="67" t="s">
        <v>74</v>
      </c>
      <c r="J45" s="54"/>
      <c r="K45" s="50"/>
    </row>
    <row r="46" spans="1:11" s="47" customFormat="1" ht="38.25">
      <c r="A46" s="174"/>
      <c r="B46" s="64" t="s">
        <v>48</v>
      </c>
      <c r="C46" s="65" t="s">
        <v>10</v>
      </c>
      <c r="D46" s="65">
        <v>241.5</v>
      </c>
      <c r="E46" s="152">
        <v>250</v>
      </c>
      <c r="F46" s="120">
        <f t="shared" si="4"/>
        <v>60375</v>
      </c>
      <c r="G46" s="120"/>
      <c r="H46" s="67" t="s">
        <v>74</v>
      </c>
      <c r="J46" s="54"/>
      <c r="K46" s="50"/>
    </row>
    <row r="47" spans="1:11" s="47" customFormat="1" ht="38.25">
      <c r="A47" s="174"/>
      <c r="B47" s="64" t="s">
        <v>49</v>
      </c>
      <c r="C47" s="65" t="s">
        <v>10</v>
      </c>
      <c r="D47" s="65">
        <v>241.5</v>
      </c>
      <c r="E47" s="152">
        <v>250</v>
      </c>
      <c r="F47" s="120">
        <f t="shared" si="4"/>
        <v>60375</v>
      </c>
      <c r="G47" s="120"/>
      <c r="H47" s="67" t="s">
        <v>74</v>
      </c>
      <c r="J47" s="54"/>
      <c r="K47" s="50"/>
    </row>
    <row r="48" spans="1:11" s="47" customFormat="1" ht="38.25">
      <c r="A48" s="174"/>
      <c r="B48" s="64" t="s">
        <v>63</v>
      </c>
      <c r="C48" s="65" t="s">
        <v>10</v>
      </c>
      <c r="D48" s="65">
        <v>241.5</v>
      </c>
      <c r="E48" s="152">
        <v>30</v>
      </c>
      <c r="F48" s="120">
        <f t="shared" si="4"/>
        <v>7245</v>
      </c>
      <c r="G48" s="120"/>
      <c r="H48" s="67" t="s">
        <v>74</v>
      </c>
      <c r="J48" s="54"/>
      <c r="K48" s="50"/>
    </row>
    <row r="49" spans="1:11" s="47" customFormat="1" ht="38.25">
      <c r="A49" s="174"/>
      <c r="B49" s="64" t="s">
        <v>47</v>
      </c>
      <c r="C49" s="65" t="s">
        <v>10</v>
      </c>
      <c r="D49" s="65">
        <v>241.5</v>
      </c>
      <c r="E49" s="152">
        <v>370</v>
      </c>
      <c r="F49" s="120">
        <f t="shared" si="4"/>
        <v>89355</v>
      </c>
      <c r="G49" s="120"/>
      <c r="H49" s="67" t="s">
        <v>74</v>
      </c>
      <c r="J49" s="54"/>
      <c r="K49" s="50"/>
    </row>
    <row r="50" spans="1:11" ht="15" customHeight="1">
      <c r="A50" s="173">
        <v>3.1</v>
      </c>
      <c r="B50" s="183" t="s">
        <v>169</v>
      </c>
      <c r="C50" s="184"/>
      <c r="D50" s="184"/>
      <c r="E50" s="191"/>
      <c r="F50" s="191"/>
      <c r="G50" s="191"/>
      <c r="H50" s="67" t="s">
        <v>74</v>
      </c>
      <c r="J50" s="54"/>
    </row>
    <row r="51" spans="1:11" s="47" customFormat="1">
      <c r="A51" s="174"/>
      <c r="B51" s="64" t="s">
        <v>50</v>
      </c>
      <c r="C51" s="65" t="s">
        <v>9</v>
      </c>
      <c r="D51" s="65">
        <f>D46*0.21*1.2</f>
        <v>60.85799999999999</v>
      </c>
      <c r="E51" s="152">
        <v>1000</v>
      </c>
      <c r="F51" s="162"/>
      <c r="G51" s="120">
        <f t="shared" ref="G51:G54" si="5">E51*D51</f>
        <v>60857.999999999993</v>
      </c>
      <c r="H51" s="67" t="s">
        <v>74</v>
      </c>
      <c r="J51" s="54"/>
      <c r="K51" s="50"/>
    </row>
    <row r="52" spans="1:11" s="47" customFormat="1">
      <c r="A52" s="174"/>
      <c r="B52" s="64" t="s">
        <v>19</v>
      </c>
      <c r="C52" s="65" t="s">
        <v>9</v>
      </c>
      <c r="D52" s="65">
        <f>D47*0.08*1.2</f>
        <v>23.184000000000001</v>
      </c>
      <c r="E52" s="152">
        <v>1000</v>
      </c>
      <c r="F52" s="162"/>
      <c r="G52" s="120">
        <f t="shared" si="5"/>
        <v>23184</v>
      </c>
      <c r="H52" s="67" t="s">
        <v>74</v>
      </c>
      <c r="J52" s="54"/>
      <c r="K52" s="50"/>
    </row>
    <row r="53" spans="1:11" s="47" customFormat="1">
      <c r="A53" s="174"/>
      <c r="B53" s="64" t="s">
        <v>37</v>
      </c>
      <c r="C53" s="65" t="s">
        <v>9</v>
      </c>
      <c r="D53" s="65">
        <f>D48*0.008</f>
        <v>1.9319999999999999</v>
      </c>
      <c r="E53" s="152">
        <v>19500</v>
      </c>
      <c r="F53" s="162"/>
      <c r="G53" s="120">
        <f t="shared" si="5"/>
        <v>37674</v>
      </c>
      <c r="H53" s="67" t="s">
        <v>74</v>
      </c>
      <c r="J53" s="54"/>
      <c r="K53" s="50"/>
    </row>
    <row r="54" spans="1:11" s="47" customFormat="1" ht="51">
      <c r="A54" s="174"/>
      <c r="B54" s="64" t="s">
        <v>60</v>
      </c>
      <c r="C54" s="65" t="s">
        <v>52</v>
      </c>
      <c r="D54" s="65">
        <f>D49*0.05*2.2</f>
        <v>26.565000000000005</v>
      </c>
      <c r="E54" s="152">
        <v>4000</v>
      </c>
      <c r="F54" s="162"/>
      <c r="G54" s="120">
        <f t="shared" si="5"/>
        <v>106260.00000000001</v>
      </c>
      <c r="H54" s="67" t="s">
        <v>74</v>
      </c>
      <c r="J54" s="54"/>
      <c r="K54" s="50"/>
    </row>
    <row r="55" spans="1:11">
      <c r="A55" s="173" t="s">
        <v>87</v>
      </c>
      <c r="B55" s="123" t="s">
        <v>148</v>
      </c>
      <c r="C55" s="125"/>
      <c r="D55" s="125"/>
      <c r="E55" s="185"/>
      <c r="F55" s="186"/>
      <c r="G55" s="187"/>
      <c r="H55" s="67" t="s">
        <v>74</v>
      </c>
      <c r="J55" s="54"/>
    </row>
    <row r="56" spans="1:11" s="58" customFormat="1">
      <c r="A56" s="174"/>
      <c r="B56" s="64" t="s">
        <v>149</v>
      </c>
      <c r="C56" s="64" t="s">
        <v>9</v>
      </c>
      <c r="D56" s="65">
        <f>320*0.3</f>
        <v>96</v>
      </c>
      <c r="E56" s="152">
        <v>850</v>
      </c>
      <c r="F56" s="120">
        <f t="shared" ref="F56:F60" si="6">E56*D56</f>
        <v>81600</v>
      </c>
      <c r="G56" s="120"/>
      <c r="H56" s="67" t="s">
        <v>74</v>
      </c>
      <c r="J56" s="54"/>
      <c r="K56" s="50"/>
    </row>
    <row r="57" spans="1:11" s="58" customFormat="1" ht="38.25">
      <c r="A57" s="174"/>
      <c r="B57" s="64" t="s">
        <v>66</v>
      </c>
      <c r="C57" s="64" t="s">
        <v>10</v>
      </c>
      <c r="D57" s="65">
        <v>320</v>
      </c>
      <c r="E57" s="152">
        <v>240</v>
      </c>
      <c r="F57" s="120">
        <f t="shared" si="6"/>
        <v>76800</v>
      </c>
      <c r="G57" s="120"/>
      <c r="H57" s="67" t="s">
        <v>74</v>
      </c>
      <c r="J57" s="54"/>
      <c r="K57" s="50"/>
    </row>
    <row r="58" spans="1:11" s="58" customFormat="1" ht="25.5">
      <c r="A58" s="174"/>
      <c r="B58" s="64" t="s">
        <v>146</v>
      </c>
      <c r="C58" s="64" t="s">
        <v>45</v>
      </c>
      <c r="D58" s="65">
        <v>640</v>
      </c>
      <c r="E58" s="152">
        <v>400</v>
      </c>
      <c r="F58" s="120">
        <f t="shared" si="6"/>
        <v>256000</v>
      </c>
      <c r="G58" s="120"/>
      <c r="H58" s="67" t="s">
        <v>74</v>
      </c>
      <c r="J58" s="54"/>
      <c r="K58" s="50"/>
    </row>
    <row r="59" spans="1:11" s="58" customFormat="1" ht="38.25">
      <c r="A59" s="174"/>
      <c r="B59" s="64" t="s">
        <v>151</v>
      </c>
      <c r="C59" s="64" t="s">
        <v>10</v>
      </c>
      <c r="D59" s="65">
        <v>320</v>
      </c>
      <c r="E59" s="152">
        <v>130</v>
      </c>
      <c r="F59" s="120">
        <f t="shared" si="6"/>
        <v>41600</v>
      </c>
      <c r="G59" s="120"/>
      <c r="H59" s="67" t="s">
        <v>74</v>
      </c>
      <c r="J59" s="54"/>
      <c r="K59" s="50"/>
    </row>
    <row r="60" spans="1:11" s="58" customFormat="1" ht="25.5">
      <c r="A60" s="174"/>
      <c r="B60" s="64" t="s">
        <v>147</v>
      </c>
      <c r="C60" s="64" t="s">
        <v>10</v>
      </c>
      <c r="D60" s="65">
        <v>320</v>
      </c>
      <c r="E60" s="152">
        <v>820</v>
      </c>
      <c r="F60" s="120">
        <f t="shared" si="6"/>
        <v>262400</v>
      </c>
      <c r="G60" s="120"/>
      <c r="H60" s="67" t="s">
        <v>74</v>
      </c>
      <c r="J60" s="54"/>
      <c r="K60" s="50"/>
    </row>
    <row r="61" spans="1:11">
      <c r="A61" s="173">
        <v>4.0999999999999996</v>
      </c>
      <c r="B61" s="126" t="s">
        <v>144</v>
      </c>
      <c r="C61" s="125"/>
      <c r="D61" s="125"/>
      <c r="E61" s="185"/>
      <c r="F61" s="186"/>
      <c r="G61" s="187"/>
      <c r="H61" s="67" t="s">
        <v>74</v>
      </c>
      <c r="J61" s="54"/>
    </row>
    <row r="62" spans="1:11" s="58" customFormat="1">
      <c r="A62" s="174"/>
      <c r="B62" s="64" t="s">
        <v>19</v>
      </c>
      <c r="C62" s="64" t="s">
        <v>9</v>
      </c>
      <c r="D62" s="65">
        <f>D57*0.15*1.2</f>
        <v>57.599999999999994</v>
      </c>
      <c r="E62" s="152">
        <v>1000</v>
      </c>
      <c r="F62" s="162"/>
      <c r="G62" s="120">
        <f t="shared" ref="G62:G66" si="7">E62*D62</f>
        <v>57599.999999999993</v>
      </c>
      <c r="H62" s="67" t="s">
        <v>74</v>
      </c>
      <c r="J62" s="54"/>
      <c r="K62" s="50"/>
    </row>
    <row r="63" spans="1:11" s="58" customFormat="1">
      <c r="A63" s="174"/>
      <c r="B63" s="64" t="s">
        <v>61</v>
      </c>
      <c r="C63" s="64" t="s">
        <v>45</v>
      </c>
      <c r="D63" s="65">
        <v>640</v>
      </c>
      <c r="E63" s="152">
        <v>370</v>
      </c>
      <c r="F63" s="162"/>
      <c r="G63" s="120">
        <f t="shared" si="7"/>
        <v>236800</v>
      </c>
      <c r="H63" s="67" t="s">
        <v>74</v>
      </c>
      <c r="J63" s="54"/>
      <c r="K63" s="50"/>
    </row>
    <row r="64" spans="1:11" s="58" customFormat="1">
      <c r="A64" s="174"/>
      <c r="B64" s="64" t="s">
        <v>77</v>
      </c>
      <c r="C64" s="64" t="s">
        <v>9</v>
      </c>
      <c r="D64" s="65">
        <f>D63*0.016</f>
        <v>10.24</v>
      </c>
      <c r="E64" s="152">
        <v>3800</v>
      </c>
      <c r="F64" s="162"/>
      <c r="G64" s="120">
        <f t="shared" si="7"/>
        <v>38912</v>
      </c>
      <c r="H64" s="67" t="s">
        <v>74</v>
      </c>
      <c r="J64" s="54"/>
      <c r="K64" s="50"/>
    </row>
    <row r="65" spans="1:11" s="58" customFormat="1">
      <c r="A65" s="174"/>
      <c r="B65" s="64" t="s">
        <v>150</v>
      </c>
      <c r="C65" s="64" t="s">
        <v>9</v>
      </c>
      <c r="D65" s="65">
        <f>D59*0.05</f>
        <v>16</v>
      </c>
      <c r="E65" s="152">
        <v>1200</v>
      </c>
      <c r="F65" s="162"/>
      <c r="G65" s="120">
        <f t="shared" si="7"/>
        <v>19200</v>
      </c>
      <c r="H65" s="67" t="s">
        <v>74</v>
      </c>
      <c r="J65" s="54"/>
      <c r="K65" s="50"/>
    </row>
    <row r="66" spans="1:11" s="47" customFormat="1" ht="26.25" customHeight="1">
      <c r="A66" s="174"/>
      <c r="B66" s="64" t="s">
        <v>153</v>
      </c>
      <c r="C66" s="64" t="s">
        <v>10</v>
      </c>
      <c r="D66" s="65">
        <v>320</v>
      </c>
      <c r="E66" s="152">
        <v>630</v>
      </c>
      <c r="F66" s="162"/>
      <c r="G66" s="120">
        <f t="shared" si="7"/>
        <v>201600</v>
      </c>
      <c r="H66" s="67" t="s">
        <v>74</v>
      </c>
      <c r="J66" s="54"/>
      <c r="K66" s="50"/>
    </row>
    <row r="67" spans="1:11">
      <c r="A67" s="173" t="s">
        <v>160</v>
      </c>
      <c r="B67" s="123" t="s">
        <v>89</v>
      </c>
      <c r="C67" s="125"/>
      <c r="D67" s="125"/>
      <c r="E67" s="185"/>
      <c r="F67" s="186">
        <v>800000</v>
      </c>
      <c r="G67" s="187"/>
      <c r="H67" s="107" t="s">
        <v>75</v>
      </c>
      <c r="J67" s="54"/>
    </row>
    <row r="68" spans="1:11" s="47" customFormat="1">
      <c r="A68" s="174"/>
      <c r="B68" s="86"/>
      <c r="C68" s="87"/>
      <c r="D68" s="87"/>
      <c r="E68" s="153"/>
      <c r="F68" s="163">
        <f>E68*D68</f>
        <v>0</v>
      </c>
      <c r="G68" s="166"/>
      <c r="H68" s="107" t="s">
        <v>75</v>
      </c>
      <c r="J68" s="54"/>
      <c r="K68" s="50"/>
    </row>
    <row r="69" spans="1:11" s="47" customFormat="1">
      <c r="A69" s="174"/>
      <c r="B69" s="86"/>
      <c r="C69" s="87"/>
      <c r="D69" s="87"/>
      <c r="E69" s="153"/>
      <c r="F69" s="163">
        <f t="shared" ref="F69:F75" si="8">E69*D69</f>
        <v>0</v>
      </c>
      <c r="G69" s="166"/>
      <c r="H69" s="107" t="s">
        <v>75</v>
      </c>
      <c r="J69" s="54"/>
      <c r="K69" s="50"/>
    </row>
    <row r="70" spans="1:11" s="47" customFormat="1">
      <c r="A70" s="174"/>
      <c r="B70" s="86"/>
      <c r="C70" s="87"/>
      <c r="D70" s="87"/>
      <c r="E70" s="153"/>
      <c r="F70" s="163">
        <f t="shared" si="8"/>
        <v>0</v>
      </c>
      <c r="G70" s="166"/>
      <c r="H70" s="107" t="s">
        <v>75</v>
      </c>
      <c r="J70" s="54"/>
      <c r="K70" s="50"/>
    </row>
    <row r="71" spans="1:11" s="47" customFormat="1">
      <c r="A71" s="174"/>
      <c r="B71" s="86"/>
      <c r="C71" s="87"/>
      <c r="D71" s="87"/>
      <c r="E71" s="153"/>
      <c r="F71" s="163">
        <f t="shared" si="8"/>
        <v>0</v>
      </c>
      <c r="G71" s="166"/>
      <c r="H71" s="107" t="s">
        <v>75</v>
      </c>
      <c r="J71" s="54"/>
      <c r="K71" s="50"/>
    </row>
    <row r="72" spans="1:11" s="47" customFormat="1">
      <c r="A72" s="174"/>
      <c r="B72" s="86"/>
      <c r="C72" s="87"/>
      <c r="D72" s="87"/>
      <c r="E72" s="153"/>
      <c r="F72" s="163">
        <f t="shared" si="8"/>
        <v>0</v>
      </c>
      <c r="G72" s="166"/>
      <c r="H72" s="107" t="s">
        <v>75</v>
      </c>
      <c r="J72" s="54"/>
      <c r="K72" s="50"/>
    </row>
    <row r="73" spans="1:11" s="47" customFormat="1">
      <c r="A73" s="174"/>
      <c r="B73" s="86"/>
      <c r="C73" s="87"/>
      <c r="D73" s="87"/>
      <c r="E73" s="153"/>
      <c r="F73" s="163">
        <f t="shared" si="8"/>
        <v>0</v>
      </c>
      <c r="G73" s="166"/>
      <c r="H73" s="107" t="s">
        <v>75</v>
      </c>
      <c r="J73" s="54"/>
      <c r="K73" s="50"/>
    </row>
    <row r="74" spans="1:11" s="47" customFormat="1">
      <c r="A74" s="174"/>
      <c r="B74" s="86"/>
      <c r="C74" s="87"/>
      <c r="D74" s="87"/>
      <c r="E74" s="153"/>
      <c r="F74" s="163">
        <f t="shared" si="8"/>
        <v>0</v>
      </c>
      <c r="G74" s="166"/>
      <c r="H74" s="107" t="s">
        <v>75</v>
      </c>
      <c r="J74" s="54"/>
      <c r="K74" s="50"/>
    </row>
    <row r="75" spans="1:11" s="47" customFormat="1">
      <c r="A75" s="174"/>
      <c r="B75" s="86"/>
      <c r="C75" s="87"/>
      <c r="D75" s="87"/>
      <c r="E75" s="153"/>
      <c r="F75" s="163">
        <f t="shared" si="8"/>
        <v>0</v>
      </c>
      <c r="G75" s="166"/>
      <c r="H75" s="107" t="s">
        <v>75</v>
      </c>
      <c r="J75" s="54"/>
      <c r="K75" s="50"/>
    </row>
    <row r="76" spans="1:11">
      <c r="A76" s="173">
        <v>5.0999999999999996</v>
      </c>
      <c r="B76" s="126" t="s">
        <v>90</v>
      </c>
      <c r="C76" s="125"/>
      <c r="D76" s="125"/>
      <c r="E76" s="185"/>
      <c r="F76" s="186"/>
      <c r="G76" s="187">
        <v>1200000</v>
      </c>
      <c r="H76" s="107" t="s">
        <v>75</v>
      </c>
      <c r="J76" s="54"/>
    </row>
    <row r="77" spans="1:11" s="47" customFormat="1">
      <c r="A77" s="174"/>
      <c r="B77" s="86"/>
      <c r="C77" s="87"/>
      <c r="D77" s="87"/>
      <c r="E77" s="153"/>
      <c r="F77" s="163"/>
      <c r="G77" s="166">
        <f>E77*D77</f>
        <v>0</v>
      </c>
      <c r="H77" s="107" t="s">
        <v>75</v>
      </c>
      <c r="J77" s="54"/>
      <c r="K77" s="50"/>
    </row>
    <row r="78" spans="1:11" s="47" customFormat="1">
      <c r="A78" s="174"/>
      <c r="B78" s="86"/>
      <c r="C78" s="87"/>
      <c r="D78" s="87"/>
      <c r="E78" s="153"/>
      <c r="F78" s="163"/>
      <c r="G78" s="166">
        <f t="shared" ref="G78:G83" si="9">E78*D78</f>
        <v>0</v>
      </c>
      <c r="H78" s="107" t="s">
        <v>75</v>
      </c>
      <c r="J78" s="54"/>
      <c r="K78" s="50"/>
    </row>
    <row r="79" spans="1:11" s="47" customFormat="1">
      <c r="A79" s="174"/>
      <c r="B79" s="86"/>
      <c r="C79" s="87"/>
      <c r="D79" s="87"/>
      <c r="E79" s="153"/>
      <c r="F79" s="163"/>
      <c r="G79" s="166">
        <f t="shared" si="9"/>
        <v>0</v>
      </c>
      <c r="H79" s="107" t="s">
        <v>75</v>
      </c>
      <c r="J79" s="54"/>
      <c r="K79" s="50"/>
    </row>
    <row r="80" spans="1:11" s="47" customFormat="1">
      <c r="A80" s="174"/>
      <c r="B80" s="86"/>
      <c r="C80" s="87"/>
      <c r="D80" s="87"/>
      <c r="E80" s="153"/>
      <c r="F80" s="163"/>
      <c r="G80" s="166">
        <f t="shared" si="9"/>
        <v>0</v>
      </c>
      <c r="H80" s="107" t="s">
        <v>75</v>
      </c>
      <c r="J80" s="54"/>
      <c r="K80" s="50"/>
    </row>
    <row r="81" spans="1:11" s="47" customFormat="1">
      <c r="A81" s="174"/>
      <c r="B81" s="86"/>
      <c r="C81" s="87"/>
      <c r="D81" s="87"/>
      <c r="E81" s="153"/>
      <c r="F81" s="163"/>
      <c r="G81" s="166">
        <f t="shared" si="9"/>
        <v>0</v>
      </c>
      <c r="H81" s="107" t="s">
        <v>75</v>
      </c>
      <c r="J81" s="54"/>
      <c r="K81" s="50"/>
    </row>
    <row r="82" spans="1:11" s="47" customFormat="1">
      <c r="A82" s="174"/>
      <c r="B82" s="86"/>
      <c r="C82" s="87"/>
      <c r="D82" s="87"/>
      <c r="E82" s="153"/>
      <c r="F82" s="163"/>
      <c r="G82" s="166">
        <f t="shared" si="9"/>
        <v>0</v>
      </c>
      <c r="H82" s="107" t="s">
        <v>75</v>
      </c>
      <c r="J82" s="54"/>
      <c r="K82" s="50"/>
    </row>
    <row r="83" spans="1:11" s="47" customFormat="1">
      <c r="A83" s="174"/>
      <c r="B83" s="86"/>
      <c r="C83" s="87"/>
      <c r="D83" s="87"/>
      <c r="E83" s="153"/>
      <c r="F83" s="163"/>
      <c r="G83" s="166">
        <f t="shared" si="9"/>
        <v>0</v>
      </c>
      <c r="H83" s="107" t="s">
        <v>75</v>
      </c>
      <c r="J83" s="54"/>
      <c r="K83" s="50"/>
    </row>
    <row r="84" spans="1:11">
      <c r="A84" s="175">
        <v>6</v>
      </c>
      <c r="B84" s="130" t="s">
        <v>184</v>
      </c>
      <c r="C84" s="129"/>
      <c r="D84" s="129"/>
      <c r="E84" s="192"/>
      <c r="F84" s="193"/>
      <c r="G84" s="193"/>
      <c r="H84" s="117" t="s">
        <v>74</v>
      </c>
      <c r="J84" s="54"/>
    </row>
    <row r="85" spans="1:11" s="58" customFormat="1">
      <c r="A85" s="176"/>
      <c r="B85" s="73" t="s">
        <v>67</v>
      </c>
      <c r="C85" s="72" t="s">
        <v>9</v>
      </c>
      <c r="D85" s="72">
        <f>390*0.22</f>
        <v>85.8</v>
      </c>
      <c r="E85" s="194">
        <v>850</v>
      </c>
      <c r="F85" s="195">
        <f>E85*D85</f>
        <v>72930</v>
      </c>
      <c r="G85" s="195"/>
      <c r="H85" s="117" t="s">
        <v>74</v>
      </c>
      <c r="J85" s="54"/>
      <c r="K85" s="50"/>
    </row>
    <row r="86" spans="1:11" s="58" customFormat="1" ht="25.5">
      <c r="A86" s="177"/>
      <c r="B86" s="73" t="s">
        <v>81</v>
      </c>
      <c r="C86" s="72" t="s">
        <v>45</v>
      </c>
      <c r="D86" s="72">
        <v>86</v>
      </c>
      <c r="E86" s="194">
        <v>380</v>
      </c>
      <c r="F86" s="195">
        <f t="shared" ref="F86:F91" si="10">E86*D86</f>
        <v>32680</v>
      </c>
      <c r="G86" s="195"/>
      <c r="H86" s="117" t="s">
        <v>74</v>
      </c>
      <c r="J86" s="54"/>
      <c r="K86" s="50"/>
    </row>
    <row r="87" spans="1:11" s="58" customFormat="1" ht="38.25">
      <c r="A87" s="176"/>
      <c r="B87" s="73" t="s">
        <v>66</v>
      </c>
      <c r="C87" s="72" t="s">
        <v>10</v>
      </c>
      <c r="D87" s="72">
        <v>390</v>
      </c>
      <c r="E87" s="194">
        <v>320</v>
      </c>
      <c r="F87" s="195">
        <f t="shared" si="10"/>
        <v>124800</v>
      </c>
      <c r="G87" s="195"/>
      <c r="H87" s="117" t="s">
        <v>74</v>
      </c>
      <c r="J87" s="54"/>
      <c r="K87" s="50"/>
    </row>
    <row r="88" spans="1:11" s="58" customFormat="1" ht="25.5">
      <c r="A88" s="176"/>
      <c r="B88" s="73" t="s">
        <v>68</v>
      </c>
      <c r="C88" s="72" t="s">
        <v>10</v>
      </c>
      <c r="D88" s="72">
        <v>390</v>
      </c>
      <c r="E88" s="194">
        <v>320</v>
      </c>
      <c r="F88" s="195">
        <f t="shared" si="10"/>
        <v>124800</v>
      </c>
      <c r="G88" s="195"/>
      <c r="H88" s="117" t="s">
        <v>74</v>
      </c>
      <c r="J88" s="54"/>
      <c r="K88" s="50"/>
    </row>
    <row r="89" spans="1:11" s="58" customFormat="1">
      <c r="A89" s="176"/>
      <c r="B89" s="73" t="s">
        <v>62</v>
      </c>
      <c r="C89" s="72" t="s">
        <v>10</v>
      </c>
      <c r="D89" s="72">
        <v>390</v>
      </c>
      <c r="E89" s="194">
        <v>30</v>
      </c>
      <c r="F89" s="195">
        <f t="shared" si="10"/>
        <v>11700</v>
      </c>
      <c r="G89" s="162"/>
      <c r="H89" s="117" t="s">
        <v>74</v>
      </c>
      <c r="J89" s="54"/>
      <c r="K89" s="50"/>
    </row>
    <row r="90" spans="1:11" s="58" customFormat="1">
      <c r="A90" s="176"/>
      <c r="B90" s="73" t="s">
        <v>164</v>
      </c>
      <c r="C90" s="72" t="s">
        <v>10</v>
      </c>
      <c r="D90" s="72">
        <v>390</v>
      </c>
      <c r="E90" s="194">
        <v>750</v>
      </c>
      <c r="F90" s="195">
        <f t="shared" si="10"/>
        <v>292500</v>
      </c>
      <c r="G90" s="162"/>
      <c r="H90" s="117" t="s">
        <v>74</v>
      </c>
      <c r="J90" s="54"/>
      <c r="K90" s="50"/>
    </row>
    <row r="91" spans="1:11" s="58" customFormat="1">
      <c r="A91" s="176"/>
      <c r="B91" s="73" t="s">
        <v>167</v>
      </c>
      <c r="C91" s="72" t="s">
        <v>93</v>
      </c>
      <c r="D91" s="72">
        <v>86</v>
      </c>
      <c r="E91" s="194">
        <v>350</v>
      </c>
      <c r="F91" s="195">
        <f t="shared" si="10"/>
        <v>30100</v>
      </c>
      <c r="G91" s="162"/>
      <c r="H91" s="117" t="s">
        <v>74</v>
      </c>
      <c r="J91" s="54"/>
      <c r="K91" s="50"/>
    </row>
    <row r="92" spans="1:11">
      <c r="A92" s="175">
        <v>6.1</v>
      </c>
      <c r="B92" s="128" t="s">
        <v>170</v>
      </c>
      <c r="C92" s="129"/>
      <c r="D92" s="129"/>
      <c r="E92" s="192"/>
      <c r="F92" s="193"/>
      <c r="G92" s="193"/>
      <c r="H92" s="117" t="s">
        <v>74</v>
      </c>
      <c r="J92" s="54"/>
    </row>
    <row r="93" spans="1:11" s="58" customFormat="1">
      <c r="A93" s="176"/>
      <c r="B93" s="73" t="s">
        <v>19</v>
      </c>
      <c r="C93" s="72" t="s">
        <v>9</v>
      </c>
      <c r="D93" s="72">
        <f>D87*0.15*1.2</f>
        <v>70.2</v>
      </c>
      <c r="E93" s="194">
        <v>1000</v>
      </c>
      <c r="F93" s="162"/>
      <c r="G93" s="195">
        <f>E93*D93</f>
        <v>70200</v>
      </c>
      <c r="H93" s="117" t="s">
        <v>74</v>
      </c>
      <c r="J93" s="54"/>
      <c r="K93" s="50"/>
    </row>
    <row r="94" spans="1:11" s="58" customFormat="1">
      <c r="A94" s="176"/>
      <c r="B94" s="73" t="s">
        <v>61</v>
      </c>
      <c r="C94" s="72" t="s">
        <v>45</v>
      </c>
      <c r="D94" s="72">
        <v>86</v>
      </c>
      <c r="E94" s="194">
        <v>370</v>
      </c>
      <c r="F94" s="162"/>
      <c r="G94" s="195">
        <f t="shared" ref="G94:G98" si="11">E94*D94</f>
        <v>31820</v>
      </c>
      <c r="H94" s="117" t="s">
        <v>74</v>
      </c>
      <c r="J94" s="54"/>
      <c r="K94" s="50"/>
    </row>
    <row r="95" spans="1:11" s="58" customFormat="1">
      <c r="A95" s="176"/>
      <c r="B95" s="73" t="s">
        <v>77</v>
      </c>
      <c r="C95" s="72" t="s">
        <v>9</v>
      </c>
      <c r="D95" s="72">
        <f>D94*0.016</f>
        <v>1.3760000000000001</v>
      </c>
      <c r="E95" s="194">
        <v>3800</v>
      </c>
      <c r="F95" s="162"/>
      <c r="G95" s="195">
        <f t="shared" si="11"/>
        <v>5228.8</v>
      </c>
      <c r="H95" s="117" t="s">
        <v>74</v>
      </c>
      <c r="J95" s="54"/>
      <c r="K95" s="50"/>
    </row>
    <row r="96" spans="1:11" s="58" customFormat="1">
      <c r="A96" s="176"/>
      <c r="B96" s="73" t="s">
        <v>73</v>
      </c>
      <c r="C96" s="72" t="s">
        <v>9</v>
      </c>
      <c r="D96" s="72">
        <f>D88*0.05</f>
        <v>19.5</v>
      </c>
      <c r="E96" s="194">
        <v>750</v>
      </c>
      <c r="F96" s="162"/>
      <c r="G96" s="195">
        <f t="shared" si="11"/>
        <v>14625</v>
      </c>
      <c r="H96" s="117" t="s">
        <v>74</v>
      </c>
      <c r="J96" s="54"/>
      <c r="K96" s="50"/>
    </row>
    <row r="97" spans="1:11" s="58" customFormat="1" ht="25.5">
      <c r="A97" s="176"/>
      <c r="B97" s="118" t="s">
        <v>91</v>
      </c>
      <c r="C97" s="72" t="s">
        <v>10</v>
      </c>
      <c r="D97" s="72">
        <v>390</v>
      </c>
      <c r="E97" s="194">
        <v>2200</v>
      </c>
      <c r="F97" s="162"/>
      <c r="G97" s="195">
        <f t="shared" si="11"/>
        <v>858000</v>
      </c>
      <c r="H97" s="117" t="s">
        <v>74</v>
      </c>
      <c r="J97" s="54"/>
      <c r="K97" s="50"/>
    </row>
    <row r="98" spans="1:11" s="58" customFormat="1" ht="63.75">
      <c r="A98" s="176"/>
      <c r="B98" s="89" t="s">
        <v>92</v>
      </c>
      <c r="C98" s="72" t="s">
        <v>93</v>
      </c>
      <c r="D98" s="72">
        <v>86</v>
      </c>
      <c r="E98" s="194">
        <v>1400</v>
      </c>
      <c r="F98" s="162"/>
      <c r="G98" s="195">
        <f t="shared" si="11"/>
        <v>120400</v>
      </c>
      <c r="H98" s="117" t="s">
        <v>74</v>
      </c>
      <c r="J98" s="54"/>
      <c r="K98" s="50"/>
    </row>
    <row r="99" spans="1:11">
      <c r="A99" s="173">
        <v>7</v>
      </c>
      <c r="B99" s="132" t="s">
        <v>183</v>
      </c>
      <c r="C99" s="124"/>
      <c r="D99" s="124"/>
      <c r="E99" s="151"/>
      <c r="F99" s="161"/>
      <c r="G99" s="161"/>
      <c r="H99" s="105" t="s">
        <v>74</v>
      </c>
      <c r="J99" s="54"/>
    </row>
    <row r="100" spans="1:11" s="58" customFormat="1">
      <c r="A100" s="176"/>
      <c r="B100" s="73" t="s">
        <v>67</v>
      </c>
      <c r="C100" s="72" t="s">
        <v>9</v>
      </c>
      <c r="D100" s="72">
        <f>152*0.22</f>
        <v>33.44</v>
      </c>
      <c r="E100" s="194">
        <v>850</v>
      </c>
      <c r="F100" s="195">
        <f t="shared" ref="F100:F106" si="12">E100*D100</f>
        <v>28423.999999999996</v>
      </c>
      <c r="G100" s="195"/>
      <c r="H100" s="117" t="s">
        <v>74</v>
      </c>
      <c r="J100" s="54"/>
      <c r="K100" s="50"/>
    </row>
    <row r="101" spans="1:11" s="58" customFormat="1" ht="25.5">
      <c r="A101" s="176"/>
      <c r="B101" s="73" t="s">
        <v>81</v>
      </c>
      <c r="C101" s="72" t="s">
        <v>45</v>
      </c>
      <c r="D101" s="72">
        <v>54</v>
      </c>
      <c r="E101" s="194">
        <v>380</v>
      </c>
      <c r="F101" s="195">
        <f t="shared" si="12"/>
        <v>20520</v>
      </c>
      <c r="G101" s="195"/>
      <c r="H101" s="117" t="s">
        <v>74</v>
      </c>
      <c r="J101" s="54"/>
      <c r="K101" s="50"/>
    </row>
    <row r="102" spans="1:11" s="58" customFormat="1" ht="38.25">
      <c r="A102" s="176"/>
      <c r="B102" s="73" t="s">
        <v>66</v>
      </c>
      <c r="C102" s="72" t="s">
        <v>10</v>
      </c>
      <c r="D102" s="72">
        <v>152</v>
      </c>
      <c r="E102" s="194">
        <v>300</v>
      </c>
      <c r="F102" s="195">
        <f t="shared" si="12"/>
        <v>45600</v>
      </c>
      <c r="G102" s="195"/>
      <c r="H102" s="117" t="s">
        <v>74</v>
      </c>
      <c r="J102" s="54"/>
      <c r="K102" s="50"/>
    </row>
    <row r="103" spans="1:11" s="58" customFormat="1" ht="25.5">
      <c r="A103" s="176"/>
      <c r="B103" s="73" t="s">
        <v>68</v>
      </c>
      <c r="C103" s="72" t="s">
        <v>10</v>
      </c>
      <c r="D103" s="72">
        <v>152</v>
      </c>
      <c r="E103" s="194">
        <v>300</v>
      </c>
      <c r="F103" s="195">
        <f t="shared" si="12"/>
        <v>45600</v>
      </c>
      <c r="G103" s="195"/>
      <c r="H103" s="117" t="s">
        <v>74</v>
      </c>
      <c r="J103" s="54"/>
      <c r="K103" s="50"/>
    </row>
    <row r="104" spans="1:11" s="58" customFormat="1">
      <c r="A104" s="176"/>
      <c r="B104" s="73" t="s">
        <v>62</v>
      </c>
      <c r="C104" s="72" t="s">
        <v>10</v>
      </c>
      <c r="D104" s="72">
        <v>152</v>
      </c>
      <c r="E104" s="194">
        <v>30</v>
      </c>
      <c r="F104" s="195">
        <f t="shared" si="12"/>
        <v>4560</v>
      </c>
      <c r="G104" s="162"/>
      <c r="H104" s="117" t="s">
        <v>74</v>
      </c>
      <c r="J104" s="54"/>
      <c r="K104" s="50"/>
    </row>
    <row r="105" spans="1:11" s="58" customFormat="1">
      <c r="A105" s="176"/>
      <c r="B105" s="73" t="s">
        <v>164</v>
      </c>
      <c r="C105" s="72" t="s">
        <v>10</v>
      </c>
      <c r="D105" s="72">
        <v>152</v>
      </c>
      <c r="E105" s="194">
        <v>750</v>
      </c>
      <c r="F105" s="195">
        <f t="shared" si="12"/>
        <v>114000</v>
      </c>
      <c r="G105" s="162"/>
      <c r="H105" s="117" t="s">
        <v>74</v>
      </c>
      <c r="J105" s="54"/>
      <c r="K105" s="50"/>
    </row>
    <row r="106" spans="1:11" s="58" customFormat="1">
      <c r="A106" s="176"/>
      <c r="B106" s="73" t="s">
        <v>167</v>
      </c>
      <c r="C106" s="72" t="s">
        <v>93</v>
      </c>
      <c r="D106" s="72">
        <v>54</v>
      </c>
      <c r="E106" s="194">
        <v>350</v>
      </c>
      <c r="F106" s="195">
        <f t="shared" si="12"/>
        <v>18900</v>
      </c>
      <c r="G106" s="162"/>
      <c r="H106" s="117" t="s">
        <v>74</v>
      </c>
      <c r="J106" s="54"/>
      <c r="K106" s="50"/>
    </row>
    <row r="107" spans="1:11">
      <c r="A107" s="175">
        <v>7.1</v>
      </c>
      <c r="B107" s="128" t="s">
        <v>171</v>
      </c>
      <c r="C107" s="129"/>
      <c r="D107" s="129"/>
      <c r="E107" s="192"/>
      <c r="F107" s="193"/>
      <c r="G107" s="193"/>
      <c r="H107" s="117" t="s">
        <v>74</v>
      </c>
      <c r="J107" s="54"/>
    </row>
    <row r="108" spans="1:11" s="58" customFormat="1">
      <c r="A108" s="176"/>
      <c r="B108" s="73" t="s">
        <v>19</v>
      </c>
      <c r="C108" s="72" t="s">
        <v>9</v>
      </c>
      <c r="D108" s="72">
        <f>D102*0.15*1.2</f>
        <v>27.36</v>
      </c>
      <c r="E108" s="194">
        <v>1000</v>
      </c>
      <c r="F108" s="162"/>
      <c r="G108" s="195">
        <f t="shared" ref="G108:G113" si="13">E108*D108</f>
        <v>27360</v>
      </c>
      <c r="H108" s="117" t="s">
        <v>74</v>
      </c>
      <c r="J108" s="54"/>
      <c r="K108" s="50"/>
    </row>
    <row r="109" spans="1:11" s="58" customFormat="1">
      <c r="A109" s="176"/>
      <c r="B109" s="73" t="s">
        <v>61</v>
      </c>
      <c r="C109" s="72" t="s">
        <v>45</v>
      </c>
      <c r="D109" s="72">
        <v>54</v>
      </c>
      <c r="E109" s="194">
        <v>380</v>
      </c>
      <c r="F109" s="162"/>
      <c r="G109" s="195">
        <f t="shared" si="13"/>
        <v>20520</v>
      </c>
      <c r="H109" s="117" t="s">
        <v>74</v>
      </c>
      <c r="J109" s="54"/>
      <c r="K109" s="50"/>
    </row>
    <row r="110" spans="1:11" s="58" customFormat="1">
      <c r="A110" s="176"/>
      <c r="B110" s="73" t="s">
        <v>77</v>
      </c>
      <c r="C110" s="72" t="s">
        <v>9</v>
      </c>
      <c r="D110" s="72">
        <f>D101*0.016</f>
        <v>0.86399999999999999</v>
      </c>
      <c r="E110" s="194">
        <v>3800</v>
      </c>
      <c r="F110" s="162"/>
      <c r="G110" s="195">
        <f t="shared" si="13"/>
        <v>3283.2</v>
      </c>
      <c r="H110" s="117" t="s">
        <v>74</v>
      </c>
      <c r="J110" s="54"/>
      <c r="K110" s="50"/>
    </row>
    <row r="111" spans="1:11" s="58" customFormat="1">
      <c r="A111" s="176"/>
      <c r="B111" s="73" t="s">
        <v>73</v>
      </c>
      <c r="C111" s="72" t="s">
        <v>9</v>
      </c>
      <c r="D111" s="72">
        <f>D103*0.05</f>
        <v>7.6000000000000005</v>
      </c>
      <c r="E111" s="194">
        <v>750</v>
      </c>
      <c r="F111" s="162"/>
      <c r="G111" s="195">
        <f t="shared" si="13"/>
        <v>5700</v>
      </c>
      <c r="H111" s="117" t="s">
        <v>74</v>
      </c>
      <c r="J111" s="54"/>
      <c r="K111" s="50"/>
    </row>
    <row r="112" spans="1:11" s="58" customFormat="1" ht="25.5">
      <c r="A112" s="176"/>
      <c r="B112" s="118" t="s">
        <v>91</v>
      </c>
      <c r="C112" s="72" t="s">
        <v>10</v>
      </c>
      <c r="D112" s="72">
        <v>152</v>
      </c>
      <c r="E112" s="194">
        <v>2200</v>
      </c>
      <c r="F112" s="162"/>
      <c r="G112" s="195">
        <f t="shared" si="13"/>
        <v>334400</v>
      </c>
      <c r="H112" s="117" t="s">
        <v>74</v>
      </c>
      <c r="J112" s="54"/>
      <c r="K112" s="50"/>
    </row>
    <row r="113" spans="1:11" s="58" customFormat="1" ht="63.75">
      <c r="A113" s="176"/>
      <c r="B113" s="89" t="s">
        <v>92</v>
      </c>
      <c r="C113" s="72" t="s">
        <v>93</v>
      </c>
      <c r="D113" s="72">
        <v>54</v>
      </c>
      <c r="E113" s="194">
        <v>1400</v>
      </c>
      <c r="F113" s="162"/>
      <c r="G113" s="195">
        <f t="shared" si="13"/>
        <v>75600</v>
      </c>
      <c r="H113" s="117" t="s">
        <v>74</v>
      </c>
      <c r="J113" s="54"/>
      <c r="K113" s="50"/>
    </row>
    <row r="114" spans="1:11">
      <c r="A114" s="175">
        <v>8</v>
      </c>
      <c r="B114" s="133" t="s">
        <v>182</v>
      </c>
      <c r="C114" s="127"/>
      <c r="D114" s="127"/>
      <c r="E114" s="196"/>
      <c r="F114" s="197"/>
      <c r="G114" s="197"/>
      <c r="H114" s="117" t="s">
        <v>74</v>
      </c>
      <c r="J114" s="54"/>
    </row>
    <row r="115" spans="1:11" s="113" customFormat="1">
      <c r="A115" s="176"/>
      <c r="B115" s="73" t="s">
        <v>67</v>
      </c>
      <c r="C115" s="72" t="s">
        <v>9</v>
      </c>
      <c r="D115" s="72">
        <f>260*0.22</f>
        <v>57.2</v>
      </c>
      <c r="E115" s="194">
        <v>850</v>
      </c>
      <c r="F115" s="195">
        <f t="shared" ref="F115:F121" si="14">E115*D115</f>
        <v>48620</v>
      </c>
      <c r="G115" s="195"/>
      <c r="H115" s="117" t="s">
        <v>74</v>
      </c>
      <c r="J115" s="114"/>
      <c r="K115" s="115"/>
    </row>
    <row r="116" spans="1:11" s="113" customFormat="1" ht="25.5">
      <c r="A116" s="177"/>
      <c r="B116" s="73" t="s">
        <v>81</v>
      </c>
      <c r="C116" s="72" t="s">
        <v>45</v>
      </c>
      <c r="D116" s="72">
        <v>66</v>
      </c>
      <c r="E116" s="194">
        <v>400</v>
      </c>
      <c r="F116" s="195">
        <f t="shared" si="14"/>
        <v>26400</v>
      </c>
      <c r="G116" s="195"/>
      <c r="H116" s="117" t="s">
        <v>74</v>
      </c>
      <c r="J116" s="114"/>
      <c r="K116" s="115"/>
    </row>
    <row r="117" spans="1:11" s="113" customFormat="1" ht="38.25">
      <c r="A117" s="176"/>
      <c r="B117" s="73" t="s">
        <v>66</v>
      </c>
      <c r="C117" s="72" t="s">
        <v>10</v>
      </c>
      <c r="D117" s="72">
        <v>260</v>
      </c>
      <c r="E117" s="194">
        <v>300</v>
      </c>
      <c r="F117" s="195">
        <f t="shared" si="14"/>
        <v>78000</v>
      </c>
      <c r="G117" s="195"/>
      <c r="H117" s="117" t="s">
        <v>74</v>
      </c>
      <c r="J117" s="114"/>
      <c r="K117" s="115"/>
    </row>
    <row r="118" spans="1:11" s="113" customFormat="1" ht="25.5">
      <c r="A118" s="176"/>
      <c r="B118" s="73" t="s">
        <v>68</v>
      </c>
      <c r="C118" s="72" t="s">
        <v>10</v>
      </c>
      <c r="D118" s="72">
        <v>260</v>
      </c>
      <c r="E118" s="194">
        <v>320</v>
      </c>
      <c r="F118" s="195">
        <f t="shared" si="14"/>
        <v>83200</v>
      </c>
      <c r="G118" s="195"/>
      <c r="H118" s="117" t="s">
        <v>74</v>
      </c>
      <c r="J118" s="114"/>
      <c r="K118" s="115"/>
    </row>
    <row r="119" spans="1:11" s="113" customFormat="1">
      <c r="A119" s="176"/>
      <c r="B119" s="73" t="s">
        <v>62</v>
      </c>
      <c r="C119" s="72" t="s">
        <v>10</v>
      </c>
      <c r="D119" s="72">
        <v>260</v>
      </c>
      <c r="E119" s="194">
        <v>30</v>
      </c>
      <c r="F119" s="195">
        <f t="shared" si="14"/>
        <v>7800</v>
      </c>
      <c r="G119" s="162"/>
      <c r="H119" s="117" t="s">
        <v>74</v>
      </c>
      <c r="J119" s="114"/>
      <c r="K119" s="115"/>
    </row>
    <row r="120" spans="1:11" s="113" customFormat="1">
      <c r="A120" s="176"/>
      <c r="B120" s="73" t="s">
        <v>164</v>
      </c>
      <c r="C120" s="72" t="s">
        <v>10</v>
      </c>
      <c r="D120" s="72">
        <v>260</v>
      </c>
      <c r="E120" s="194">
        <v>750</v>
      </c>
      <c r="F120" s="195">
        <f t="shared" si="14"/>
        <v>195000</v>
      </c>
      <c r="G120" s="162"/>
      <c r="H120" s="117" t="s">
        <v>74</v>
      </c>
      <c r="J120" s="114"/>
      <c r="K120" s="115"/>
    </row>
    <row r="121" spans="1:11" s="113" customFormat="1" ht="51">
      <c r="A121" s="176"/>
      <c r="B121" s="118" t="s">
        <v>165</v>
      </c>
      <c r="C121" s="72" t="s">
        <v>93</v>
      </c>
      <c r="D121" s="72">
        <v>56</v>
      </c>
      <c r="E121" s="194">
        <v>1900</v>
      </c>
      <c r="F121" s="195">
        <f t="shared" si="14"/>
        <v>106400</v>
      </c>
      <c r="G121" s="162"/>
      <c r="H121" s="117" t="s">
        <v>74</v>
      </c>
      <c r="J121" s="114"/>
      <c r="K121" s="115"/>
    </row>
    <row r="122" spans="1:11" s="113" customFormat="1">
      <c r="A122" s="175">
        <v>8.1</v>
      </c>
      <c r="B122" s="128" t="s">
        <v>172</v>
      </c>
      <c r="C122" s="129"/>
      <c r="D122" s="129"/>
      <c r="E122" s="192"/>
      <c r="F122" s="193"/>
      <c r="G122" s="193"/>
      <c r="H122" s="117" t="s">
        <v>74</v>
      </c>
      <c r="J122" s="114"/>
      <c r="K122" s="115"/>
    </row>
    <row r="123" spans="1:11" s="113" customFormat="1">
      <c r="A123" s="176"/>
      <c r="B123" s="73" t="s">
        <v>19</v>
      </c>
      <c r="C123" s="72" t="s">
        <v>9</v>
      </c>
      <c r="D123" s="72">
        <f>D117*0.15*1.2</f>
        <v>46.8</v>
      </c>
      <c r="E123" s="194">
        <v>1000</v>
      </c>
      <c r="F123" s="162"/>
      <c r="G123" s="195">
        <f t="shared" ref="G123:G128" si="15">E123*D123</f>
        <v>46800</v>
      </c>
      <c r="H123" s="117" t="s">
        <v>74</v>
      </c>
      <c r="J123" s="114"/>
      <c r="K123" s="115"/>
    </row>
    <row r="124" spans="1:11" s="113" customFormat="1">
      <c r="A124" s="176"/>
      <c r="B124" s="73" t="s">
        <v>61</v>
      </c>
      <c r="C124" s="72" t="s">
        <v>45</v>
      </c>
      <c r="D124" s="72">
        <v>66</v>
      </c>
      <c r="E124" s="194">
        <v>380</v>
      </c>
      <c r="F124" s="162"/>
      <c r="G124" s="195">
        <f t="shared" si="15"/>
        <v>25080</v>
      </c>
      <c r="H124" s="117" t="s">
        <v>74</v>
      </c>
      <c r="J124" s="114"/>
      <c r="K124" s="115"/>
    </row>
    <row r="125" spans="1:11" s="113" customFormat="1">
      <c r="A125" s="176"/>
      <c r="B125" s="73" t="s">
        <v>77</v>
      </c>
      <c r="C125" s="72" t="s">
        <v>9</v>
      </c>
      <c r="D125" s="72">
        <f>D116*0.016</f>
        <v>1.056</v>
      </c>
      <c r="E125" s="194">
        <v>3800</v>
      </c>
      <c r="F125" s="162"/>
      <c r="G125" s="195">
        <f t="shared" si="15"/>
        <v>4012.8</v>
      </c>
      <c r="H125" s="117" t="s">
        <v>74</v>
      </c>
      <c r="J125" s="114"/>
      <c r="K125" s="115"/>
    </row>
    <row r="126" spans="1:11" s="113" customFormat="1">
      <c r="A126" s="176"/>
      <c r="B126" s="73" t="s">
        <v>73</v>
      </c>
      <c r="C126" s="72" t="s">
        <v>9</v>
      </c>
      <c r="D126" s="72">
        <f>D118*0.05</f>
        <v>13</v>
      </c>
      <c r="E126" s="194">
        <v>750</v>
      </c>
      <c r="F126" s="162"/>
      <c r="G126" s="195">
        <f t="shared" si="15"/>
        <v>9750</v>
      </c>
      <c r="H126" s="117" t="s">
        <v>74</v>
      </c>
      <c r="J126" s="114"/>
      <c r="K126" s="115"/>
    </row>
    <row r="127" spans="1:11" s="113" customFormat="1" ht="25.5">
      <c r="A127" s="176"/>
      <c r="B127" s="118" t="s">
        <v>91</v>
      </c>
      <c r="C127" s="72" t="s">
        <v>10</v>
      </c>
      <c r="D127" s="72">
        <v>260</v>
      </c>
      <c r="E127" s="194">
        <v>2200</v>
      </c>
      <c r="F127" s="162"/>
      <c r="G127" s="195">
        <f t="shared" si="15"/>
        <v>572000</v>
      </c>
      <c r="H127" s="117" t="s">
        <v>74</v>
      </c>
      <c r="J127" s="114"/>
      <c r="K127" s="115"/>
    </row>
    <row r="128" spans="1:11" s="113" customFormat="1" ht="38.25">
      <c r="A128" s="176"/>
      <c r="B128" s="118" t="s">
        <v>94</v>
      </c>
      <c r="C128" s="72" t="s">
        <v>93</v>
      </c>
      <c r="D128" s="72">
        <v>56</v>
      </c>
      <c r="E128" s="194">
        <v>4900</v>
      </c>
      <c r="F128" s="162"/>
      <c r="G128" s="195">
        <f t="shared" si="15"/>
        <v>274400</v>
      </c>
      <c r="H128" s="117" t="s">
        <v>74</v>
      </c>
      <c r="J128" s="114"/>
      <c r="K128" s="115"/>
    </row>
    <row r="129" spans="1:11" s="48" customFormat="1">
      <c r="A129" s="178">
        <v>9</v>
      </c>
      <c r="B129" s="134" t="s">
        <v>181</v>
      </c>
      <c r="C129" s="135"/>
      <c r="D129" s="136"/>
      <c r="E129" s="198"/>
      <c r="F129" s="199"/>
      <c r="G129" s="199"/>
      <c r="H129" s="117" t="s">
        <v>74</v>
      </c>
      <c r="J129" s="55"/>
      <c r="K129" s="51"/>
    </row>
    <row r="130" spans="1:11" s="113" customFormat="1">
      <c r="A130" s="176"/>
      <c r="B130" s="73" t="s">
        <v>67</v>
      </c>
      <c r="C130" s="72" t="s">
        <v>9</v>
      </c>
      <c r="D130" s="72">
        <f>75*0.22</f>
        <v>16.5</v>
      </c>
      <c r="E130" s="194">
        <v>800</v>
      </c>
      <c r="F130" s="195">
        <f t="shared" ref="F130:F134" si="16">E130*D130</f>
        <v>13200</v>
      </c>
      <c r="G130" s="195"/>
      <c r="H130" s="117" t="s">
        <v>74</v>
      </c>
      <c r="J130" s="114"/>
      <c r="K130" s="115"/>
    </row>
    <row r="131" spans="1:11" s="113" customFormat="1" ht="25.5">
      <c r="A131" s="177"/>
      <c r="B131" s="73" t="s">
        <v>81</v>
      </c>
      <c r="C131" s="72" t="s">
        <v>45</v>
      </c>
      <c r="D131" s="72">
        <v>47</v>
      </c>
      <c r="E131" s="194">
        <v>380</v>
      </c>
      <c r="F131" s="195">
        <f t="shared" si="16"/>
        <v>17860</v>
      </c>
      <c r="G131" s="195"/>
      <c r="H131" s="117" t="s">
        <v>74</v>
      </c>
      <c r="J131" s="114"/>
      <c r="K131" s="115"/>
    </row>
    <row r="132" spans="1:11" s="113" customFormat="1" ht="38.25">
      <c r="A132" s="176"/>
      <c r="B132" s="73" t="s">
        <v>66</v>
      </c>
      <c r="C132" s="72" t="s">
        <v>10</v>
      </c>
      <c r="D132" s="72">
        <v>75</v>
      </c>
      <c r="E132" s="194">
        <v>300</v>
      </c>
      <c r="F132" s="195">
        <f t="shared" si="16"/>
        <v>22500</v>
      </c>
      <c r="G132" s="195"/>
      <c r="H132" s="117" t="s">
        <v>74</v>
      </c>
      <c r="J132" s="114"/>
      <c r="K132" s="115"/>
    </row>
    <row r="133" spans="1:11" s="113" customFormat="1" ht="25.5">
      <c r="A133" s="176"/>
      <c r="B133" s="73" t="s">
        <v>68</v>
      </c>
      <c r="C133" s="72" t="s">
        <v>10</v>
      </c>
      <c r="D133" s="72">
        <v>75</v>
      </c>
      <c r="E133" s="194">
        <v>320</v>
      </c>
      <c r="F133" s="195">
        <f t="shared" si="16"/>
        <v>24000</v>
      </c>
      <c r="G133" s="195"/>
      <c r="H133" s="117" t="s">
        <v>74</v>
      </c>
      <c r="J133" s="114"/>
      <c r="K133" s="115"/>
    </row>
    <row r="134" spans="1:11" s="113" customFormat="1">
      <c r="A134" s="176"/>
      <c r="B134" s="73" t="s">
        <v>62</v>
      </c>
      <c r="C134" s="72" t="s">
        <v>10</v>
      </c>
      <c r="D134" s="72">
        <v>75</v>
      </c>
      <c r="E134" s="194">
        <v>30</v>
      </c>
      <c r="F134" s="195">
        <f t="shared" si="16"/>
        <v>2250</v>
      </c>
      <c r="G134" s="162"/>
      <c r="H134" s="117" t="s">
        <v>74</v>
      </c>
      <c r="J134" s="114"/>
      <c r="K134" s="115"/>
    </row>
    <row r="135" spans="1:11" s="113" customFormat="1">
      <c r="A135" s="175">
        <v>9.1</v>
      </c>
      <c r="B135" s="128" t="s">
        <v>173</v>
      </c>
      <c r="C135" s="129"/>
      <c r="D135" s="129"/>
      <c r="E135" s="192"/>
      <c r="F135" s="193"/>
      <c r="G135" s="193"/>
      <c r="H135" s="117" t="s">
        <v>74</v>
      </c>
      <c r="J135" s="114"/>
      <c r="K135" s="115"/>
    </row>
    <row r="136" spans="1:11" s="113" customFormat="1">
      <c r="A136" s="176"/>
      <c r="B136" s="73" t="s">
        <v>19</v>
      </c>
      <c r="C136" s="72" t="s">
        <v>9</v>
      </c>
      <c r="D136" s="72">
        <f>D132*0.15*1.2</f>
        <v>13.5</v>
      </c>
      <c r="E136" s="194">
        <v>1000</v>
      </c>
      <c r="F136" s="162"/>
      <c r="G136" s="195">
        <f t="shared" ref="G136:G139" si="17">E136*D136</f>
        <v>13500</v>
      </c>
      <c r="H136" s="117" t="s">
        <v>74</v>
      </c>
      <c r="J136" s="114"/>
      <c r="K136" s="115"/>
    </row>
    <row r="137" spans="1:11" s="113" customFormat="1">
      <c r="A137" s="176"/>
      <c r="B137" s="73" t="s">
        <v>61</v>
      </c>
      <c r="C137" s="72" t="s">
        <v>45</v>
      </c>
      <c r="D137" s="72">
        <v>47</v>
      </c>
      <c r="E137" s="194">
        <v>380</v>
      </c>
      <c r="F137" s="162"/>
      <c r="G137" s="195">
        <f t="shared" si="17"/>
        <v>17860</v>
      </c>
      <c r="H137" s="117" t="s">
        <v>74</v>
      </c>
      <c r="J137" s="114"/>
      <c r="K137" s="115"/>
    </row>
    <row r="138" spans="1:11" s="113" customFormat="1">
      <c r="A138" s="176"/>
      <c r="B138" s="73" t="s">
        <v>77</v>
      </c>
      <c r="C138" s="72" t="s">
        <v>9</v>
      </c>
      <c r="D138" s="72">
        <f>D131*0.016</f>
        <v>0.752</v>
      </c>
      <c r="E138" s="194">
        <v>3800</v>
      </c>
      <c r="F138" s="162"/>
      <c r="G138" s="195">
        <f t="shared" si="17"/>
        <v>2857.6</v>
      </c>
      <c r="H138" s="117" t="s">
        <v>74</v>
      </c>
      <c r="J138" s="114"/>
      <c r="K138" s="115"/>
    </row>
    <row r="139" spans="1:11" s="113" customFormat="1">
      <c r="A139" s="176"/>
      <c r="B139" s="73" t="s">
        <v>73</v>
      </c>
      <c r="C139" s="72" t="s">
        <v>9</v>
      </c>
      <c r="D139" s="72">
        <f>D133*0.05</f>
        <v>3.75</v>
      </c>
      <c r="E139" s="194">
        <v>750</v>
      </c>
      <c r="F139" s="162"/>
      <c r="G139" s="195">
        <f t="shared" si="17"/>
        <v>2812.5</v>
      </c>
      <c r="H139" s="117" t="s">
        <v>74</v>
      </c>
      <c r="J139" s="114"/>
      <c r="K139" s="115"/>
    </row>
    <row r="140" spans="1:11">
      <c r="A140" s="175" t="s">
        <v>95</v>
      </c>
      <c r="B140" s="134" t="s">
        <v>180</v>
      </c>
      <c r="C140" s="136"/>
      <c r="D140" s="136"/>
      <c r="E140" s="137"/>
      <c r="F140" s="199"/>
      <c r="G140" s="199"/>
      <c r="H140" s="117" t="s">
        <v>74</v>
      </c>
      <c r="I140" s="49"/>
      <c r="J140" s="54"/>
    </row>
    <row r="141" spans="1:11" s="113" customFormat="1">
      <c r="A141" s="176"/>
      <c r="B141" s="73" t="s">
        <v>67</v>
      </c>
      <c r="C141" s="72" t="s">
        <v>9</v>
      </c>
      <c r="D141" s="72">
        <f>96*0.22</f>
        <v>21.12</v>
      </c>
      <c r="E141" s="194">
        <v>800</v>
      </c>
      <c r="F141" s="195">
        <f t="shared" ref="F141:F146" si="18">E141*D141</f>
        <v>16896</v>
      </c>
      <c r="G141" s="195"/>
      <c r="H141" s="117" t="s">
        <v>74</v>
      </c>
      <c r="J141" s="114"/>
      <c r="K141" s="115"/>
    </row>
    <row r="142" spans="1:11" s="113" customFormat="1" ht="25.5">
      <c r="A142" s="177"/>
      <c r="B142" s="73" t="s">
        <v>81</v>
      </c>
      <c r="C142" s="72" t="s">
        <v>45</v>
      </c>
      <c r="D142" s="72">
        <v>40</v>
      </c>
      <c r="E142" s="194">
        <v>400</v>
      </c>
      <c r="F142" s="195">
        <f t="shared" si="18"/>
        <v>16000</v>
      </c>
      <c r="G142" s="195"/>
      <c r="H142" s="117" t="s">
        <v>74</v>
      </c>
      <c r="J142" s="114"/>
      <c r="K142" s="115"/>
    </row>
    <row r="143" spans="1:11" s="113" customFormat="1" ht="38.25">
      <c r="A143" s="176"/>
      <c r="B143" s="73" t="s">
        <v>66</v>
      </c>
      <c r="C143" s="72" t="s">
        <v>10</v>
      </c>
      <c r="D143" s="72">
        <v>96</v>
      </c>
      <c r="E143" s="194">
        <v>300</v>
      </c>
      <c r="F143" s="195">
        <f t="shared" si="18"/>
        <v>28800</v>
      </c>
      <c r="G143" s="195"/>
      <c r="H143" s="117" t="s">
        <v>74</v>
      </c>
      <c r="J143" s="114"/>
      <c r="K143" s="115"/>
    </row>
    <row r="144" spans="1:11" s="113" customFormat="1" ht="25.5">
      <c r="A144" s="176"/>
      <c r="B144" s="73" t="s">
        <v>68</v>
      </c>
      <c r="C144" s="72" t="s">
        <v>10</v>
      </c>
      <c r="D144" s="72">
        <v>96</v>
      </c>
      <c r="E144" s="194">
        <v>320</v>
      </c>
      <c r="F144" s="195">
        <f t="shared" si="18"/>
        <v>30720</v>
      </c>
      <c r="G144" s="195"/>
      <c r="H144" s="117" t="s">
        <v>74</v>
      </c>
      <c r="J144" s="114"/>
      <c r="K144" s="115"/>
    </row>
    <row r="145" spans="1:11" s="113" customFormat="1">
      <c r="A145" s="176"/>
      <c r="B145" s="73" t="s">
        <v>62</v>
      </c>
      <c r="C145" s="72" t="s">
        <v>10</v>
      </c>
      <c r="D145" s="72">
        <v>96</v>
      </c>
      <c r="E145" s="194">
        <v>30</v>
      </c>
      <c r="F145" s="195">
        <f t="shared" si="18"/>
        <v>2880</v>
      </c>
      <c r="G145" s="162"/>
      <c r="H145" s="117" t="s">
        <v>74</v>
      </c>
      <c r="J145" s="114"/>
      <c r="K145" s="115"/>
    </row>
    <row r="146" spans="1:11" s="113" customFormat="1" ht="38.25">
      <c r="A146" s="176"/>
      <c r="B146" s="118" t="s">
        <v>166</v>
      </c>
      <c r="C146" s="72" t="s">
        <v>93</v>
      </c>
      <c r="D146" s="72">
        <v>40</v>
      </c>
      <c r="E146" s="194">
        <v>1900</v>
      </c>
      <c r="F146" s="195">
        <f t="shared" si="18"/>
        <v>76000</v>
      </c>
      <c r="G146" s="162"/>
      <c r="H146" s="117" t="s">
        <v>74</v>
      </c>
      <c r="J146" s="114"/>
      <c r="K146" s="115"/>
    </row>
    <row r="147" spans="1:11" s="113" customFormat="1">
      <c r="A147" s="175">
        <v>10.1</v>
      </c>
      <c r="B147" s="130" t="s">
        <v>174</v>
      </c>
      <c r="C147" s="129"/>
      <c r="D147" s="129"/>
      <c r="E147" s="192"/>
      <c r="F147" s="193"/>
      <c r="G147" s="193"/>
      <c r="H147" s="117" t="s">
        <v>74</v>
      </c>
      <c r="J147" s="114"/>
      <c r="K147" s="115"/>
    </row>
    <row r="148" spans="1:11" s="113" customFormat="1">
      <c r="A148" s="176"/>
      <c r="B148" s="73" t="s">
        <v>19</v>
      </c>
      <c r="C148" s="72" t="s">
        <v>9</v>
      </c>
      <c r="D148" s="72">
        <f>D143*0.15*1.2</f>
        <v>17.279999999999998</v>
      </c>
      <c r="E148" s="194">
        <v>1000</v>
      </c>
      <c r="F148" s="162"/>
      <c r="G148" s="195">
        <f t="shared" ref="G148:G152" si="19">E148*D148</f>
        <v>17279.999999999996</v>
      </c>
      <c r="H148" s="117" t="s">
        <v>74</v>
      </c>
      <c r="J148" s="114"/>
      <c r="K148" s="115"/>
    </row>
    <row r="149" spans="1:11" s="113" customFormat="1">
      <c r="A149" s="176"/>
      <c r="B149" s="73" t="s">
        <v>61</v>
      </c>
      <c r="C149" s="72" t="s">
        <v>45</v>
      </c>
      <c r="D149" s="72">
        <v>40</v>
      </c>
      <c r="E149" s="194">
        <v>380</v>
      </c>
      <c r="F149" s="162"/>
      <c r="G149" s="195">
        <f t="shared" si="19"/>
        <v>15200</v>
      </c>
      <c r="H149" s="117" t="s">
        <v>74</v>
      </c>
      <c r="J149" s="114"/>
      <c r="K149" s="115"/>
    </row>
    <row r="150" spans="1:11" s="113" customFormat="1">
      <c r="A150" s="176"/>
      <c r="B150" s="73" t="s">
        <v>77</v>
      </c>
      <c r="C150" s="72" t="s">
        <v>9</v>
      </c>
      <c r="D150" s="72">
        <f>D142*0.016</f>
        <v>0.64</v>
      </c>
      <c r="E150" s="194">
        <v>3450</v>
      </c>
      <c r="F150" s="162"/>
      <c r="G150" s="195">
        <f t="shared" si="19"/>
        <v>2208</v>
      </c>
      <c r="H150" s="117" t="s">
        <v>74</v>
      </c>
      <c r="J150" s="114"/>
      <c r="K150" s="115"/>
    </row>
    <row r="151" spans="1:11" s="113" customFormat="1">
      <c r="A151" s="176"/>
      <c r="B151" s="73" t="s">
        <v>73</v>
      </c>
      <c r="C151" s="72" t="s">
        <v>9</v>
      </c>
      <c r="D151" s="72">
        <f>D144*0.05</f>
        <v>4.8000000000000007</v>
      </c>
      <c r="E151" s="194">
        <v>750</v>
      </c>
      <c r="F151" s="162"/>
      <c r="G151" s="195">
        <f t="shared" si="19"/>
        <v>3600.0000000000005</v>
      </c>
      <c r="H151" s="117" t="s">
        <v>74</v>
      </c>
      <c r="J151" s="114"/>
      <c r="K151" s="115"/>
    </row>
    <row r="152" spans="1:11" s="113" customFormat="1" ht="38.25">
      <c r="A152" s="176"/>
      <c r="B152" s="118" t="s">
        <v>94</v>
      </c>
      <c r="C152" s="72" t="s">
        <v>93</v>
      </c>
      <c r="D152" s="72">
        <v>40</v>
      </c>
      <c r="E152" s="194">
        <v>4900</v>
      </c>
      <c r="F152" s="162"/>
      <c r="G152" s="195">
        <f t="shared" si="19"/>
        <v>196000</v>
      </c>
      <c r="H152" s="117" t="s">
        <v>74</v>
      </c>
      <c r="J152" s="114"/>
      <c r="K152" s="115"/>
    </row>
    <row r="153" spans="1:11" s="113" customFormat="1">
      <c r="A153" s="175" t="s">
        <v>96</v>
      </c>
      <c r="B153" s="134" t="s">
        <v>179</v>
      </c>
      <c r="C153" s="136"/>
      <c r="D153" s="136"/>
      <c r="E153" s="137"/>
      <c r="F153" s="199"/>
      <c r="G153" s="199"/>
      <c r="H153" s="117" t="s">
        <v>74</v>
      </c>
      <c r="I153" s="116"/>
      <c r="J153" s="114"/>
      <c r="K153" s="115"/>
    </row>
    <row r="154" spans="1:11" s="113" customFormat="1">
      <c r="A154" s="176"/>
      <c r="B154" s="73" t="s">
        <v>67</v>
      </c>
      <c r="C154" s="72" t="s">
        <v>9</v>
      </c>
      <c r="D154" s="72">
        <f>36*0.22</f>
        <v>7.92</v>
      </c>
      <c r="E154" s="194">
        <v>800</v>
      </c>
      <c r="F154" s="195">
        <f t="shared" ref="F154:F158" si="20">E154*D154</f>
        <v>6336</v>
      </c>
      <c r="G154" s="195"/>
      <c r="H154" s="117" t="s">
        <v>74</v>
      </c>
      <c r="J154" s="114"/>
      <c r="K154" s="115"/>
    </row>
    <row r="155" spans="1:11" s="113" customFormat="1" ht="25.5">
      <c r="A155" s="176"/>
      <c r="B155" s="73" t="s">
        <v>81</v>
      </c>
      <c r="C155" s="72" t="s">
        <v>45</v>
      </c>
      <c r="D155" s="72">
        <v>30</v>
      </c>
      <c r="E155" s="194">
        <v>400</v>
      </c>
      <c r="F155" s="195">
        <f t="shared" si="20"/>
        <v>12000</v>
      </c>
      <c r="G155" s="195"/>
      <c r="H155" s="117" t="s">
        <v>74</v>
      </c>
      <c r="J155" s="114"/>
      <c r="K155" s="115"/>
    </row>
    <row r="156" spans="1:11" s="113" customFormat="1" ht="38.25">
      <c r="A156" s="176"/>
      <c r="B156" s="73" t="s">
        <v>66</v>
      </c>
      <c r="C156" s="72" t="s">
        <v>10</v>
      </c>
      <c r="D156" s="72">
        <v>36</v>
      </c>
      <c r="E156" s="194">
        <v>300</v>
      </c>
      <c r="F156" s="195">
        <f t="shared" si="20"/>
        <v>10800</v>
      </c>
      <c r="G156" s="195"/>
      <c r="H156" s="117" t="s">
        <v>74</v>
      </c>
      <c r="J156" s="114"/>
      <c r="K156" s="115"/>
    </row>
    <row r="157" spans="1:11" s="113" customFormat="1" ht="25.5">
      <c r="A157" s="176"/>
      <c r="B157" s="73" t="s">
        <v>68</v>
      </c>
      <c r="C157" s="72" t="s">
        <v>10</v>
      </c>
      <c r="D157" s="72">
        <v>36</v>
      </c>
      <c r="E157" s="194">
        <v>300</v>
      </c>
      <c r="F157" s="195">
        <f t="shared" si="20"/>
        <v>10800</v>
      </c>
      <c r="G157" s="195"/>
      <c r="H157" s="117" t="s">
        <v>74</v>
      </c>
      <c r="J157" s="114"/>
      <c r="K157" s="115"/>
    </row>
    <row r="158" spans="1:11" s="113" customFormat="1">
      <c r="A158" s="179"/>
      <c r="B158" s="73" t="s">
        <v>62</v>
      </c>
      <c r="C158" s="72" t="s">
        <v>10</v>
      </c>
      <c r="D158" s="72">
        <v>36</v>
      </c>
      <c r="E158" s="194">
        <v>30</v>
      </c>
      <c r="F158" s="195">
        <f t="shared" si="20"/>
        <v>1080</v>
      </c>
      <c r="G158" s="162"/>
      <c r="H158" s="117" t="s">
        <v>74</v>
      </c>
      <c r="J158" s="114"/>
      <c r="K158" s="115"/>
    </row>
    <row r="159" spans="1:11" s="113" customFormat="1">
      <c r="A159" s="175">
        <v>11.1</v>
      </c>
      <c r="B159" s="130" t="s">
        <v>175</v>
      </c>
      <c r="C159" s="129"/>
      <c r="D159" s="129"/>
      <c r="E159" s="192"/>
      <c r="F159" s="193"/>
      <c r="G159" s="193"/>
      <c r="H159" s="117" t="s">
        <v>74</v>
      </c>
      <c r="J159" s="114"/>
      <c r="K159" s="115"/>
    </row>
    <row r="160" spans="1:11" s="113" customFormat="1">
      <c r="A160" s="176"/>
      <c r="B160" s="119" t="s">
        <v>19</v>
      </c>
      <c r="C160" s="72" t="s">
        <v>9</v>
      </c>
      <c r="D160" s="72">
        <f>36*0.15*1.2</f>
        <v>6.4799999999999995</v>
      </c>
      <c r="E160" s="194">
        <v>1000</v>
      </c>
      <c r="F160" s="162"/>
      <c r="G160" s="195">
        <f t="shared" ref="G160:G163" si="21">E160*D160</f>
        <v>6479.9999999999991</v>
      </c>
      <c r="H160" s="117" t="s">
        <v>74</v>
      </c>
      <c r="J160" s="114"/>
      <c r="K160" s="115"/>
    </row>
    <row r="161" spans="1:11" s="113" customFormat="1">
      <c r="A161" s="176"/>
      <c r="B161" s="119" t="s">
        <v>61</v>
      </c>
      <c r="C161" s="72" t="s">
        <v>45</v>
      </c>
      <c r="D161" s="72">
        <v>30</v>
      </c>
      <c r="E161" s="194">
        <v>300</v>
      </c>
      <c r="F161" s="162"/>
      <c r="G161" s="195">
        <f t="shared" si="21"/>
        <v>9000</v>
      </c>
      <c r="H161" s="117" t="s">
        <v>74</v>
      </c>
      <c r="J161" s="114"/>
      <c r="K161" s="115"/>
    </row>
    <row r="162" spans="1:11" s="113" customFormat="1">
      <c r="A162" s="176"/>
      <c r="B162" s="119" t="s">
        <v>77</v>
      </c>
      <c r="C162" s="72" t="s">
        <v>9</v>
      </c>
      <c r="D162" s="72">
        <f>D155*0.016</f>
        <v>0.48</v>
      </c>
      <c r="E162" s="194">
        <v>3450</v>
      </c>
      <c r="F162" s="162"/>
      <c r="G162" s="195">
        <f t="shared" si="21"/>
        <v>1656</v>
      </c>
      <c r="H162" s="117" t="s">
        <v>74</v>
      </c>
      <c r="J162" s="114"/>
      <c r="K162" s="115"/>
    </row>
    <row r="163" spans="1:11" s="113" customFormat="1">
      <c r="A163" s="176"/>
      <c r="B163" s="73" t="s">
        <v>73</v>
      </c>
      <c r="C163" s="72" t="s">
        <v>9</v>
      </c>
      <c r="D163" s="72">
        <f>D157*0.05</f>
        <v>1.8</v>
      </c>
      <c r="E163" s="194">
        <v>750</v>
      </c>
      <c r="F163" s="162"/>
      <c r="G163" s="195">
        <f t="shared" si="21"/>
        <v>1350</v>
      </c>
      <c r="H163" s="117" t="s">
        <v>74</v>
      </c>
      <c r="J163" s="114"/>
      <c r="K163" s="115"/>
    </row>
    <row r="164" spans="1:11">
      <c r="A164" s="173" t="s">
        <v>137</v>
      </c>
      <c r="B164" s="139" t="s">
        <v>70</v>
      </c>
      <c r="C164" s="140"/>
      <c r="D164" s="140"/>
      <c r="E164" s="141"/>
      <c r="F164" s="200"/>
      <c r="G164" s="200"/>
      <c r="H164" s="117" t="s">
        <v>74</v>
      </c>
      <c r="I164" s="49"/>
      <c r="J164" s="54"/>
    </row>
    <row r="165" spans="1:11">
      <c r="A165" s="173">
        <v>12.1</v>
      </c>
      <c r="B165" s="143" t="s">
        <v>176</v>
      </c>
      <c r="C165" s="140"/>
      <c r="D165" s="140"/>
      <c r="E165" s="141"/>
      <c r="F165" s="200"/>
      <c r="G165" s="200"/>
      <c r="H165" s="117" t="s">
        <v>74</v>
      </c>
      <c r="I165" s="49"/>
      <c r="J165" s="54"/>
    </row>
    <row r="166" spans="1:11" s="47" customFormat="1" ht="51">
      <c r="A166" s="174"/>
      <c r="B166" s="90" t="s">
        <v>97</v>
      </c>
      <c r="C166" s="65"/>
      <c r="D166" s="92">
        <v>1</v>
      </c>
      <c r="E166" s="97">
        <v>2000</v>
      </c>
      <c r="F166" s="120"/>
      <c r="G166" s="195">
        <f t="shared" ref="G166:G173" si="22">E166*D166</f>
        <v>2000</v>
      </c>
      <c r="H166" s="117" t="s">
        <v>74</v>
      </c>
      <c r="I166" s="49"/>
      <c r="J166" s="54"/>
      <c r="K166" s="50"/>
    </row>
    <row r="167" spans="1:11" s="47" customFormat="1" ht="25.5">
      <c r="A167" s="174"/>
      <c r="B167" s="90" t="s">
        <v>98</v>
      </c>
      <c r="C167" s="65"/>
      <c r="D167" s="92">
        <v>1</v>
      </c>
      <c r="E167" s="97">
        <v>10000</v>
      </c>
      <c r="F167" s="120"/>
      <c r="G167" s="195">
        <f t="shared" si="22"/>
        <v>10000</v>
      </c>
      <c r="H167" s="105" t="s">
        <v>74</v>
      </c>
      <c r="I167" s="49"/>
      <c r="J167" s="54"/>
      <c r="K167" s="50"/>
    </row>
    <row r="168" spans="1:11" s="47" customFormat="1" ht="38.25">
      <c r="A168" s="174"/>
      <c r="B168" s="91" t="s">
        <v>99</v>
      </c>
      <c r="C168" s="65"/>
      <c r="D168" s="92">
        <v>1</v>
      </c>
      <c r="E168" s="97">
        <v>997500</v>
      </c>
      <c r="F168" s="120"/>
      <c r="G168" s="195">
        <f t="shared" si="22"/>
        <v>997500</v>
      </c>
      <c r="H168" s="105" t="s">
        <v>74</v>
      </c>
      <c r="I168" s="49"/>
      <c r="J168" s="54"/>
      <c r="K168" s="50"/>
    </row>
    <row r="169" spans="1:11" s="47" customFormat="1">
      <c r="A169" s="174"/>
      <c r="B169" s="91" t="s">
        <v>100</v>
      </c>
      <c r="C169" s="65"/>
      <c r="D169" s="92">
        <v>1</v>
      </c>
      <c r="E169" s="97">
        <v>100000</v>
      </c>
      <c r="F169" s="120"/>
      <c r="G169" s="195">
        <f t="shared" si="22"/>
        <v>100000</v>
      </c>
      <c r="H169" s="105" t="s">
        <v>74</v>
      </c>
      <c r="I169" s="49"/>
      <c r="J169" s="54"/>
      <c r="K169" s="50"/>
    </row>
    <row r="170" spans="1:11" s="47" customFormat="1" ht="25.5">
      <c r="A170" s="174"/>
      <c r="B170" s="91" t="s">
        <v>101</v>
      </c>
      <c r="C170" s="65"/>
      <c r="D170" s="92">
        <v>1</v>
      </c>
      <c r="E170" s="97">
        <v>39000</v>
      </c>
      <c r="F170" s="120"/>
      <c r="G170" s="195">
        <f t="shared" si="22"/>
        <v>39000</v>
      </c>
      <c r="H170" s="105" t="s">
        <v>74</v>
      </c>
      <c r="I170" s="49"/>
      <c r="J170" s="54"/>
      <c r="K170" s="50"/>
    </row>
    <row r="171" spans="1:11" s="47" customFormat="1">
      <c r="A171" s="174"/>
      <c r="B171" s="91" t="s">
        <v>102</v>
      </c>
      <c r="C171" s="65"/>
      <c r="D171" s="92">
        <v>1</v>
      </c>
      <c r="E171" s="97">
        <v>86600</v>
      </c>
      <c r="F171" s="120"/>
      <c r="G171" s="195">
        <f t="shared" si="22"/>
        <v>86600</v>
      </c>
      <c r="H171" s="105" t="s">
        <v>74</v>
      </c>
      <c r="I171" s="49"/>
      <c r="J171" s="54"/>
      <c r="K171" s="50"/>
    </row>
    <row r="172" spans="1:11" s="47" customFormat="1" ht="25.5">
      <c r="A172" s="174"/>
      <c r="B172" s="91" t="s">
        <v>103</v>
      </c>
      <c r="C172" s="65"/>
      <c r="D172" s="92">
        <v>4</v>
      </c>
      <c r="E172" s="97">
        <v>9000</v>
      </c>
      <c r="F172" s="120"/>
      <c r="G172" s="195">
        <f t="shared" si="22"/>
        <v>36000</v>
      </c>
      <c r="H172" s="108" t="s">
        <v>75</v>
      </c>
      <c r="I172" s="49"/>
      <c r="J172" s="54"/>
      <c r="K172" s="50"/>
    </row>
    <row r="173" spans="1:11" s="47" customFormat="1" ht="25.5">
      <c r="A173" s="174"/>
      <c r="B173" s="91" t="s">
        <v>104</v>
      </c>
      <c r="C173" s="65"/>
      <c r="D173" s="92">
        <v>4</v>
      </c>
      <c r="E173" s="97">
        <v>4000</v>
      </c>
      <c r="F173" s="120"/>
      <c r="G173" s="195">
        <f t="shared" si="22"/>
        <v>16000</v>
      </c>
      <c r="H173" s="108" t="s">
        <v>75</v>
      </c>
      <c r="I173" s="49"/>
      <c r="J173" s="54"/>
      <c r="K173" s="50"/>
    </row>
    <row r="174" spans="1:11" s="47" customFormat="1">
      <c r="A174" s="174"/>
      <c r="B174" s="91" t="s">
        <v>168</v>
      </c>
      <c r="C174" s="65"/>
      <c r="D174" s="92">
        <v>1</v>
      </c>
      <c r="E174" s="97">
        <v>321775</v>
      </c>
      <c r="F174" s="195">
        <f>E174*D174</f>
        <v>321775</v>
      </c>
      <c r="G174" s="120"/>
      <c r="H174" s="105" t="s">
        <v>74</v>
      </c>
      <c r="I174" s="100">
        <f>SUM(G166:G173)</f>
        <v>1287100</v>
      </c>
      <c r="J174" s="54"/>
      <c r="K174" s="50"/>
    </row>
    <row r="175" spans="1:11">
      <c r="A175" s="173">
        <v>12.1</v>
      </c>
      <c r="B175" s="130" t="s">
        <v>134</v>
      </c>
      <c r="C175" s="125"/>
      <c r="D175" s="136"/>
      <c r="E175" s="142"/>
      <c r="F175" s="187"/>
      <c r="G175" s="187"/>
      <c r="H175" s="105" t="s">
        <v>74</v>
      </c>
      <c r="I175" s="49"/>
      <c r="J175" s="54"/>
    </row>
    <row r="176" spans="1:11" s="47" customFormat="1" ht="38.25">
      <c r="A176" s="174"/>
      <c r="B176" s="91" t="s">
        <v>105</v>
      </c>
      <c r="C176" s="65"/>
      <c r="D176" s="92">
        <v>1</v>
      </c>
      <c r="E176" s="97">
        <v>258300</v>
      </c>
      <c r="F176" s="120"/>
      <c r="G176" s="195">
        <f t="shared" ref="G176:G185" si="23">E176*D176</f>
        <v>258300</v>
      </c>
      <c r="H176" s="105" t="s">
        <v>74</v>
      </c>
      <c r="I176" s="49"/>
      <c r="J176" s="54"/>
      <c r="K176" s="50"/>
    </row>
    <row r="177" spans="1:11" s="47" customFormat="1" ht="38.25">
      <c r="A177" s="174"/>
      <c r="B177" s="91" t="s">
        <v>106</v>
      </c>
      <c r="C177" s="65"/>
      <c r="D177" s="92">
        <v>1</v>
      </c>
      <c r="E177" s="97">
        <v>26460</v>
      </c>
      <c r="F177" s="120"/>
      <c r="G177" s="195">
        <f t="shared" si="23"/>
        <v>26460</v>
      </c>
      <c r="H177" s="105" t="s">
        <v>74</v>
      </c>
      <c r="I177" s="49"/>
      <c r="J177" s="54"/>
      <c r="K177" s="50"/>
    </row>
    <row r="178" spans="1:11" s="47" customFormat="1" ht="38.25">
      <c r="A178" s="174"/>
      <c r="B178" s="91" t="s">
        <v>107</v>
      </c>
      <c r="C178" s="65"/>
      <c r="D178" s="94">
        <v>1</v>
      </c>
      <c r="E178" s="97">
        <v>9900</v>
      </c>
      <c r="F178" s="120"/>
      <c r="G178" s="195">
        <f t="shared" si="23"/>
        <v>9900</v>
      </c>
      <c r="H178" s="105" t="s">
        <v>74</v>
      </c>
      <c r="I178" s="49"/>
      <c r="J178" s="54"/>
      <c r="K178" s="50"/>
    </row>
    <row r="179" spans="1:11" s="47" customFormat="1" ht="25.5">
      <c r="A179" s="174"/>
      <c r="B179" s="93" t="s">
        <v>108</v>
      </c>
      <c r="C179" s="65"/>
      <c r="D179" s="92">
        <v>1</v>
      </c>
      <c r="E179" s="97">
        <v>124500</v>
      </c>
      <c r="F179" s="120"/>
      <c r="G179" s="195">
        <f t="shared" si="23"/>
        <v>124500</v>
      </c>
      <c r="H179" s="105" t="s">
        <v>74</v>
      </c>
      <c r="I179" s="49"/>
      <c r="J179" s="54"/>
      <c r="K179" s="50"/>
    </row>
    <row r="180" spans="1:11" s="47" customFormat="1" ht="25.5">
      <c r="A180" s="174"/>
      <c r="B180" s="93" t="s">
        <v>109</v>
      </c>
      <c r="C180" s="65"/>
      <c r="D180" s="92">
        <v>1</v>
      </c>
      <c r="E180" s="97">
        <v>124500</v>
      </c>
      <c r="F180" s="120"/>
      <c r="G180" s="195">
        <f t="shared" si="23"/>
        <v>124500</v>
      </c>
      <c r="H180" s="105" t="s">
        <v>74</v>
      </c>
      <c r="I180" s="49"/>
      <c r="J180" s="54"/>
      <c r="K180" s="50"/>
    </row>
    <row r="181" spans="1:11" s="47" customFormat="1" ht="25.5">
      <c r="A181" s="174"/>
      <c r="B181" s="93" t="s">
        <v>110</v>
      </c>
      <c r="C181" s="65"/>
      <c r="D181" s="92">
        <v>1</v>
      </c>
      <c r="E181" s="97">
        <v>241400</v>
      </c>
      <c r="F181" s="120"/>
      <c r="G181" s="195">
        <f t="shared" si="23"/>
        <v>241400</v>
      </c>
      <c r="H181" s="105" t="s">
        <v>74</v>
      </c>
      <c r="I181" s="49"/>
      <c r="J181" s="54"/>
      <c r="K181" s="50"/>
    </row>
    <row r="182" spans="1:11" s="47" customFormat="1" ht="25.5">
      <c r="A182" s="174"/>
      <c r="B182" s="91" t="s">
        <v>111</v>
      </c>
      <c r="C182" s="65"/>
      <c r="D182" s="94">
        <v>1</v>
      </c>
      <c r="E182" s="97">
        <v>38430</v>
      </c>
      <c r="F182" s="120"/>
      <c r="G182" s="195">
        <f t="shared" si="23"/>
        <v>38430</v>
      </c>
      <c r="H182" s="105" t="s">
        <v>74</v>
      </c>
      <c r="I182" s="49"/>
      <c r="J182" s="54"/>
      <c r="K182" s="50"/>
    </row>
    <row r="183" spans="1:11" s="47" customFormat="1" ht="25.5">
      <c r="A183" s="174"/>
      <c r="B183" s="91" t="s">
        <v>112</v>
      </c>
      <c r="C183" s="65"/>
      <c r="D183" s="94">
        <v>1</v>
      </c>
      <c r="E183" s="97">
        <v>58800</v>
      </c>
      <c r="F183" s="120"/>
      <c r="G183" s="195">
        <f t="shared" si="23"/>
        <v>58800</v>
      </c>
      <c r="H183" s="105" t="s">
        <v>74</v>
      </c>
      <c r="I183" s="49"/>
      <c r="J183" s="54"/>
      <c r="K183" s="50"/>
    </row>
    <row r="184" spans="1:11" s="47" customFormat="1" ht="25.5">
      <c r="A184" s="174"/>
      <c r="B184" s="91" t="s">
        <v>103</v>
      </c>
      <c r="C184" s="65"/>
      <c r="D184" s="92">
        <v>4</v>
      </c>
      <c r="E184" s="97">
        <v>9000</v>
      </c>
      <c r="F184" s="120"/>
      <c r="G184" s="195">
        <f t="shared" si="23"/>
        <v>36000</v>
      </c>
      <c r="H184" s="108" t="s">
        <v>75</v>
      </c>
      <c r="I184" s="49"/>
      <c r="J184" s="54"/>
      <c r="K184" s="50"/>
    </row>
    <row r="185" spans="1:11" s="47" customFormat="1" ht="25.5">
      <c r="A185" s="174"/>
      <c r="B185" s="91" t="s">
        <v>104</v>
      </c>
      <c r="C185" s="65"/>
      <c r="D185" s="92">
        <v>4</v>
      </c>
      <c r="E185" s="97">
        <v>4000</v>
      </c>
      <c r="F185" s="120"/>
      <c r="G185" s="195">
        <f t="shared" si="23"/>
        <v>16000</v>
      </c>
      <c r="H185" s="108" t="s">
        <v>75</v>
      </c>
      <c r="I185" s="49"/>
      <c r="J185" s="54"/>
      <c r="K185" s="50"/>
    </row>
    <row r="186" spans="1:11" s="47" customFormat="1">
      <c r="A186" s="174"/>
      <c r="B186" s="91" t="s">
        <v>168</v>
      </c>
      <c r="C186" s="65"/>
      <c r="D186" s="92">
        <v>1</v>
      </c>
      <c r="E186" s="97">
        <v>233570</v>
      </c>
      <c r="F186" s="195">
        <f>E186*D186</f>
        <v>233570</v>
      </c>
      <c r="G186" s="120"/>
      <c r="H186" s="105" t="s">
        <v>74</v>
      </c>
      <c r="I186" s="100">
        <f>SUM(G176:G185)</f>
        <v>934290</v>
      </c>
      <c r="J186" s="54"/>
      <c r="K186" s="50"/>
    </row>
    <row r="187" spans="1:11">
      <c r="A187" s="173">
        <v>12.1</v>
      </c>
      <c r="B187" s="131" t="s">
        <v>135</v>
      </c>
      <c r="C187" s="125"/>
      <c r="D187" s="136"/>
      <c r="E187" s="142"/>
      <c r="F187" s="187"/>
      <c r="G187" s="187"/>
      <c r="H187" s="105" t="s">
        <v>74</v>
      </c>
      <c r="I187" s="49"/>
      <c r="J187" s="54"/>
    </row>
    <row r="188" spans="1:11" s="47" customFormat="1" ht="38.25">
      <c r="A188" s="174"/>
      <c r="B188" s="91" t="s">
        <v>83</v>
      </c>
      <c r="C188" s="65"/>
      <c r="D188" s="94">
        <v>2</v>
      </c>
      <c r="E188" s="97">
        <v>30000</v>
      </c>
      <c r="F188" s="120"/>
      <c r="G188" s="195">
        <f t="shared" ref="G188:G190" si="24">E188*D188</f>
        <v>60000</v>
      </c>
      <c r="H188" s="105" t="s">
        <v>74</v>
      </c>
      <c r="I188" s="49"/>
      <c r="J188" s="54"/>
      <c r="K188" s="50"/>
    </row>
    <row r="189" spans="1:11" s="47" customFormat="1" ht="25.5">
      <c r="A189" s="174"/>
      <c r="B189" s="91" t="s">
        <v>84</v>
      </c>
      <c r="C189" s="65"/>
      <c r="D189" s="94">
        <v>2</v>
      </c>
      <c r="E189" s="97">
        <v>1000</v>
      </c>
      <c r="F189" s="120"/>
      <c r="G189" s="195">
        <f t="shared" si="24"/>
        <v>2000</v>
      </c>
      <c r="H189" s="105" t="s">
        <v>74</v>
      </c>
      <c r="I189" s="49"/>
      <c r="J189" s="54"/>
      <c r="K189" s="50"/>
    </row>
    <row r="190" spans="1:11" s="47" customFormat="1" ht="25.5">
      <c r="A190" s="174"/>
      <c r="B190" s="91" t="s">
        <v>85</v>
      </c>
      <c r="C190" s="65"/>
      <c r="D190" s="94">
        <v>2</v>
      </c>
      <c r="E190" s="97">
        <v>2600</v>
      </c>
      <c r="F190" s="120"/>
      <c r="G190" s="195">
        <f t="shared" si="24"/>
        <v>5200</v>
      </c>
      <c r="H190" s="105" t="s">
        <v>74</v>
      </c>
      <c r="I190" s="49"/>
      <c r="J190" s="54"/>
      <c r="K190" s="50"/>
    </row>
    <row r="191" spans="1:11" s="47" customFormat="1">
      <c r="A191" s="174"/>
      <c r="B191" s="91" t="s">
        <v>168</v>
      </c>
      <c r="C191" s="65"/>
      <c r="D191" s="94">
        <v>1</v>
      </c>
      <c r="E191" s="97">
        <v>16800</v>
      </c>
      <c r="F191" s="195">
        <f>E191*D191</f>
        <v>16800</v>
      </c>
      <c r="G191" s="120"/>
      <c r="H191" s="105" t="s">
        <v>74</v>
      </c>
      <c r="I191" s="100">
        <f>SUM(G188:G190)</f>
        <v>67200</v>
      </c>
      <c r="J191" s="54"/>
      <c r="K191" s="50"/>
    </row>
    <row r="192" spans="1:11">
      <c r="A192" s="173">
        <v>12.1</v>
      </c>
      <c r="B192" s="144" t="s">
        <v>136</v>
      </c>
      <c r="C192" s="125"/>
      <c r="D192" s="136"/>
      <c r="E192" s="142"/>
      <c r="F192" s="187"/>
      <c r="G192" s="187"/>
      <c r="H192" s="105" t="s">
        <v>74</v>
      </c>
      <c r="I192" s="49"/>
      <c r="J192" s="54"/>
    </row>
    <row r="193" spans="1:11" s="47" customFormat="1">
      <c r="A193" s="174"/>
      <c r="B193" s="91" t="s">
        <v>82</v>
      </c>
      <c r="C193" s="65"/>
      <c r="D193" s="94">
        <v>1</v>
      </c>
      <c r="E193" s="97">
        <v>30200</v>
      </c>
      <c r="F193" s="120"/>
      <c r="G193" s="195">
        <f t="shared" ref="G193:G203" si="25">E193*D193</f>
        <v>30200</v>
      </c>
      <c r="H193" s="105" t="s">
        <v>74</v>
      </c>
      <c r="I193" s="49"/>
      <c r="J193" s="54"/>
      <c r="K193" s="50"/>
    </row>
    <row r="194" spans="1:11" s="47" customFormat="1" ht="25.5">
      <c r="A194" s="174"/>
      <c r="B194" s="91" t="s">
        <v>113</v>
      </c>
      <c r="C194" s="65"/>
      <c r="D194" s="94">
        <v>1</v>
      </c>
      <c r="E194" s="97">
        <v>234150</v>
      </c>
      <c r="F194" s="120"/>
      <c r="G194" s="195">
        <f t="shared" si="25"/>
        <v>234150</v>
      </c>
      <c r="H194" s="105" t="s">
        <v>74</v>
      </c>
      <c r="I194" s="49"/>
      <c r="J194" s="54"/>
      <c r="K194" s="50"/>
    </row>
    <row r="195" spans="1:11" s="47" customFormat="1" ht="25.5">
      <c r="A195" s="174"/>
      <c r="B195" s="95" t="s">
        <v>114</v>
      </c>
      <c r="C195" s="65"/>
      <c r="D195" s="94">
        <v>1</v>
      </c>
      <c r="E195" s="201">
        <v>110000</v>
      </c>
      <c r="F195" s="120"/>
      <c r="G195" s="195">
        <f t="shared" si="25"/>
        <v>110000</v>
      </c>
      <c r="H195" s="105" t="s">
        <v>74</v>
      </c>
      <c r="I195" s="49"/>
      <c r="J195" s="54"/>
      <c r="K195" s="50"/>
    </row>
    <row r="196" spans="1:11" s="47" customFormat="1" ht="25.5">
      <c r="A196" s="174"/>
      <c r="B196" s="95" t="s">
        <v>115</v>
      </c>
      <c r="C196" s="65"/>
      <c r="D196" s="94">
        <v>1</v>
      </c>
      <c r="E196" s="201">
        <v>112700</v>
      </c>
      <c r="F196" s="120"/>
      <c r="G196" s="195">
        <f t="shared" si="25"/>
        <v>112700</v>
      </c>
      <c r="H196" s="105" t="s">
        <v>74</v>
      </c>
      <c r="I196" s="49"/>
      <c r="J196" s="54"/>
      <c r="K196" s="50"/>
    </row>
    <row r="197" spans="1:11" s="47" customFormat="1" ht="25.5">
      <c r="A197" s="174"/>
      <c r="B197" s="95" t="s">
        <v>116</v>
      </c>
      <c r="C197" s="65"/>
      <c r="D197" s="94">
        <v>1</v>
      </c>
      <c r="E197" s="201">
        <v>123970</v>
      </c>
      <c r="F197" s="120"/>
      <c r="G197" s="195">
        <f t="shared" si="25"/>
        <v>123970</v>
      </c>
      <c r="H197" s="105" t="s">
        <v>74</v>
      </c>
      <c r="I197" s="49"/>
      <c r="J197" s="54"/>
      <c r="K197" s="50"/>
    </row>
    <row r="198" spans="1:11" s="47" customFormat="1" ht="38.25">
      <c r="A198" s="174"/>
      <c r="B198" s="95" t="s">
        <v>117</v>
      </c>
      <c r="C198" s="65"/>
      <c r="D198" s="94">
        <v>1</v>
      </c>
      <c r="E198" s="201">
        <v>126500</v>
      </c>
      <c r="F198" s="120"/>
      <c r="G198" s="195">
        <f t="shared" si="25"/>
        <v>126500</v>
      </c>
      <c r="H198" s="105" t="s">
        <v>74</v>
      </c>
      <c r="I198" s="49"/>
      <c r="J198" s="54"/>
      <c r="K198" s="50"/>
    </row>
    <row r="199" spans="1:11" s="47" customFormat="1" ht="25.5">
      <c r="A199" s="174"/>
      <c r="B199" s="95" t="s">
        <v>118</v>
      </c>
      <c r="C199" s="65"/>
      <c r="D199" s="94">
        <v>1</v>
      </c>
      <c r="E199" s="201">
        <v>127000</v>
      </c>
      <c r="F199" s="120"/>
      <c r="G199" s="195">
        <f t="shared" si="25"/>
        <v>127000</v>
      </c>
      <c r="H199" s="105" t="s">
        <v>74</v>
      </c>
      <c r="I199" s="49"/>
      <c r="J199" s="54"/>
      <c r="K199" s="50"/>
    </row>
    <row r="200" spans="1:11" s="47" customFormat="1" ht="25.5">
      <c r="A200" s="174"/>
      <c r="B200" s="95" t="s">
        <v>119</v>
      </c>
      <c r="C200" s="65"/>
      <c r="D200" s="94">
        <v>1</v>
      </c>
      <c r="E200" s="201">
        <v>104000</v>
      </c>
      <c r="F200" s="120"/>
      <c r="G200" s="195">
        <f t="shared" si="25"/>
        <v>104000</v>
      </c>
      <c r="H200" s="105" t="s">
        <v>74</v>
      </c>
      <c r="I200" s="49"/>
      <c r="J200" s="54"/>
      <c r="K200" s="50"/>
    </row>
    <row r="201" spans="1:11" s="47" customFormat="1">
      <c r="A201" s="174"/>
      <c r="B201" s="91" t="s">
        <v>120</v>
      </c>
      <c r="C201" s="65"/>
      <c r="D201" s="96">
        <v>1</v>
      </c>
      <c r="E201" s="201">
        <v>132800</v>
      </c>
      <c r="F201" s="120"/>
      <c r="G201" s="195">
        <f t="shared" si="25"/>
        <v>132800</v>
      </c>
      <c r="H201" s="105" t="s">
        <v>74</v>
      </c>
      <c r="I201" s="49"/>
      <c r="J201" s="54"/>
      <c r="K201" s="50"/>
    </row>
    <row r="202" spans="1:11" s="47" customFormat="1" ht="25.5">
      <c r="A202" s="174"/>
      <c r="B202" s="91" t="s">
        <v>103</v>
      </c>
      <c r="C202" s="65"/>
      <c r="D202" s="92">
        <v>2</v>
      </c>
      <c r="E202" s="97">
        <v>9000</v>
      </c>
      <c r="F202" s="120"/>
      <c r="G202" s="195">
        <f t="shared" si="25"/>
        <v>18000</v>
      </c>
      <c r="H202" s="108" t="s">
        <v>75</v>
      </c>
      <c r="I202" s="49"/>
      <c r="J202" s="54"/>
      <c r="K202" s="50"/>
    </row>
    <row r="203" spans="1:11" s="47" customFormat="1" ht="38.25">
      <c r="A203" s="174"/>
      <c r="B203" s="91" t="s">
        <v>163</v>
      </c>
      <c r="C203" s="65"/>
      <c r="D203" s="92">
        <v>2</v>
      </c>
      <c r="E203" s="97">
        <v>4000</v>
      </c>
      <c r="F203" s="120"/>
      <c r="G203" s="195">
        <f t="shared" si="25"/>
        <v>8000</v>
      </c>
      <c r="H203" s="108" t="s">
        <v>75</v>
      </c>
      <c r="I203" s="49"/>
      <c r="J203" s="54"/>
      <c r="K203" s="50"/>
    </row>
    <row r="204" spans="1:11" s="47" customFormat="1">
      <c r="A204" s="174"/>
      <c r="B204" s="91" t="s">
        <v>168</v>
      </c>
      <c r="C204" s="65"/>
      <c r="D204" s="92">
        <v>1</v>
      </c>
      <c r="E204" s="97">
        <v>281830</v>
      </c>
      <c r="F204" s="195">
        <f>E204*D204</f>
        <v>281830</v>
      </c>
      <c r="G204" s="120"/>
      <c r="H204" s="105" t="s">
        <v>74</v>
      </c>
      <c r="I204" s="100">
        <f>SUM(G193:G203)</f>
        <v>1127320</v>
      </c>
      <c r="J204" s="54"/>
      <c r="K204" s="50"/>
    </row>
    <row r="205" spans="1:11">
      <c r="A205" s="173">
        <v>12.1</v>
      </c>
      <c r="B205" s="144" t="s">
        <v>124</v>
      </c>
      <c r="C205" s="189"/>
      <c r="D205" s="189"/>
      <c r="E205" s="142"/>
      <c r="F205" s="202"/>
      <c r="G205" s="187"/>
      <c r="H205" s="105" t="s">
        <v>74</v>
      </c>
      <c r="I205" s="49"/>
      <c r="J205" s="54"/>
    </row>
    <row r="206" spans="1:11" s="47" customFormat="1">
      <c r="A206" s="174"/>
      <c r="B206" s="91" t="s">
        <v>121</v>
      </c>
      <c r="C206" s="65"/>
      <c r="D206" s="92">
        <v>2</v>
      </c>
      <c r="E206" s="97">
        <v>35750</v>
      </c>
      <c r="F206" s="120"/>
      <c r="G206" s="195">
        <f t="shared" ref="G206:G209" si="26">E206*D206</f>
        <v>71500</v>
      </c>
      <c r="H206" s="105" t="s">
        <v>74</v>
      </c>
      <c r="I206" s="49"/>
      <c r="J206" s="54"/>
      <c r="K206" s="50"/>
    </row>
    <row r="207" spans="1:11" s="47" customFormat="1">
      <c r="A207" s="174"/>
      <c r="B207" s="91" t="s">
        <v>122</v>
      </c>
      <c r="C207" s="65"/>
      <c r="D207" s="92">
        <v>5</v>
      </c>
      <c r="E207" s="97">
        <v>5000</v>
      </c>
      <c r="F207" s="120"/>
      <c r="G207" s="195">
        <f t="shared" si="26"/>
        <v>25000</v>
      </c>
      <c r="H207" s="105" t="s">
        <v>74</v>
      </c>
      <c r="I207" s="49"/>
      <c r="J207" s="54"/>
      <c r="K207" s="50"/>
    </row>
    <row r="208" spans="1:11" s="47" customFormat="1" ht="25.5">
      <c r="A208" s="174"/>
      <c r="B208" s="91" t="s">
        <v>123</v>
      </c>
      <c r="C208" s="65"/>
      <c r="D208" s="92">
        <v>2</v>
      </c>
      <c r="E208" s="97">
        <v>11500</v>
      </c>
      <c r="F208" s="120"/>
      <c r="G208" s="195">
        <f t="shared" si="26"/>
        <v>23000</v>
      </c>
      <c r="H208" s="108" t="s">
        <v>75</v>
      </c>
      <c r="I208" s="49"/>
      <c r="J208" s="54"/>
      <c r="K208" s="50"/>
    </row>
    <row r="209" spans="1:11" s="47" customFormat="1" ht="33.75" customHeight="1">
      <c r="A209" s="174"/>
      <c r="B209" s="91" t="s">
        <v>163</v>
      </c>
      <c r="C209" s="65"/>
      <c r="D209" s="92">
        <v>4</v>
      </c>
      <c r="E209" s="97">
        <v>4000</v>
      </c>
      <c r="F209" s="120"/>
      <c r="G209" s="195">
        <f t="shared" si="26"/>
        <v>16000</v>
      </c>
      <c r="H209" s="108" t="s">
        <v>75</v>
      </c>
      <c r="I209" s="49"/>
      <c r="J209" s="54"/>
      <c r="K209" s="50"/>
    </row>
    <row r="210" spans="1:11" s="47" customFormat="1">
      <c r="A210" s="174"/>
      <c r="B210" s="91" t="s">
        <v>168</v>
      </c>
      <c r="C210" s="65"/>
      <c r="D210" s="92">
        <v>1</v>
      </c>
      <c r="E210" s="97">
        <v>33900</v>
      </c>
      <c r="F210" s="195">
        <f>E210*D210</f>
        <v>33900</v>
      </c>
      <c r="G210" s="120"/>
      <c r="H210" s="105" t="s">
        <v>74</v>
      </c>
      <c r="I210" s="100">
        <f>SUM(G206:G209)</f>
        <v>135500</v>
      </c>
      <c r="J210" s="54"/>
      <c r="K210" s="50"/>
    </row>
    <row r="211" spans="1:11">
      <c r="A211" s="173">
        <v>12.1</v>
      </c>
      <c r="B211" s="144" t="s">
        <v>130</v>
      </c>
      <c r="C211" s="189"/>
      <c r="D211" s="189"/>
      <c r="E211" s="142"/>
      <c r="F211" s="202"/>
      <c r="G211" s="187"/>
      <c r="H211" s="105" t="s">
        <v>74</v>
      </c>
      <c r="I211" s="49"/>
      <c r="J211" s="54"/>
    </row>
    <row r="212" spans="1:11" s="47" customFormat="1">
      <c r="A212" s="174"/>
      <c r="B212" s="93" t="s">
        <v>125</v>
      </c>
      <c r="C212" s="65"/>
      <c r="D212" s="96">
        <v>1</v>
      </c>
      <c r="E212" s="201">
        <v>43500</v>
      </c>
      <c r="F212" s="120"/>
      <c r="G212" s="195">
        <f t="shared" ref="G212:G216" si="27">E212*D212</f>
        <v>43500</v>
      </c>
      <c r="H212" s="105" t="s">
        <v>74</v>
      </c>
      <c r="I212" s="49"/>
      <c r="J212" s="54"/>
      <c r="K212" s="50"/>
    </row>
    <row r="213" spans="1:11" s="47" customFormat="1">
      <c r="A213" s="174"/>
      <c r="B213" s="88" t="s">
        <v>126</v>
      </c>
      <c r="C213" s="65"/>
      <c r="D213" s="96">
        <v>1</v>
      </c>
      <c r="E213" s="203">
        <v>22200</v>
      </c>
      <c r="F213" s="120"/>
      <c r="G213" s="195">
        <f t="shared" si="27"/>
        <v>22200</v>
      </c>
      <c r="H213" s="105" t="s">
        <v>74</v>
      </c>
      <c r="I213" s="49"/>
      <c r="J213" s="54"/>
      <c r="K213" s="50"/>
    </row>
    <row r="214" spans="1:11" s="47" customFormat="1">
      <c r="A214" s="174"/>
      <c r="B214" s="93" t="s">
        <v>127</v>
      </c>
      <c r="C214" s="65"/>
      <c r="D214" s="96">
        <v>1</v>
      </c>
      <c r="E214" s="203">
        <v>12400</v>
      </c>
      <c r="F214" s="120"/>
      <c r="G214" s="195">
        <f t="shared" si="27"/>
        <v>12400</v>
      </c>
      <c r="H214" s="105" t="s">
        <v>74</v>
      </c>
      <c r="I214" s="49"/>
      <c r="J214" s="54"/>
      <c r="K214" s="50"/>
    </row>
    <row r="215" spans="1:11" s="47" customFormat="1">
      <c r="A215" s="174"/>
      <c r="B215" s="93" t="s">
        <v>128</v>
      </c>
      <c r="C215" s="65"/>
      <c r="D215" s="96">
        <v>1</v>
      </c>
      <c r="E215" s="203">
        <v>18900</v>
      </c>
      <c r="F215" s="120"/>
      <c r="G215" s="195">
        <f t="shared" si="27"/>
        <v>18900</v>
      </c>
      <c r="H215" s="105" t="s">
        <v>74</v>
      </c>
      <c r="I215" s="49"/>
      <c r="J215" s="54"/>
      <c r="K215" s="50"/>
    </row>
    <row r="216" spans="1:11" s="47" customFormat="1" ht="102">
      <c r="A216" s="174"/>
      <c r="B216" s="93" t="s">
        <v>129</v>
      </c>
      <c r="C216" s="65"/>
      <c r="D216" s="96">
        <v>1</v>
      </c>
      <c r="E216" s="203">
        <v>33550</v>
      </c>
      <c r="F216" s="120"/>
      <c r="G216" s="195">
        <f t="shared" si="27"/>
        <v>33550</v>
      </c>
      <c r="H216" s="105" t="s">
        <v>74</v>
      </c>
      <c r="I216" s="49"/>
      <c r="J216" s="54"/>
      <c r="K216" s="50"/>
    </row>
    <row r="217" spans="1:11" s="47" customFormat="1">
      <c r="A217" s="174"/>
      <c r="B217" s="91" t="s">
        <v>168</v>
      </c>
      <c r="C217" s="65"/>
      <c r="D217" s="96">
        <v>1</v>
      </c>
      <c r="E217" s="203">
        <v>32640</v>
      </c>
      <c r="F217" s="195">
        <f>E217*D217</f>
        <v>32640</v>
      </c>
      <c r="G217" s="120"/>
      <c r="H217" s="105" t="s">
        <v>74</v>
      </c>
      <c r="I217" s="100">
        <f>SUM(G212:G216)</f>
        <v>130550</v>
      </c>
      <c r="J217" s="54"/>
      <c r="K217" s="50"/>
    </row>
    <row r="218" spans="1:11">
      <c r="A218" s="173">
        <v>12.1</v>
      </c>
      <c r="B218" s="144" t="s">
        <v>133</v>
      </c>
      <c r="C218" s="125"/>
      <c r="D218" s="136"/>
      <c r="E218" s="142"/>
      <c r="F218" s="187"/>
      <c r="G218" s="187"/>
      <c r="H218" s="105" t="s">
        <v>74</v>
      </c>
      <c r="I218" s="49"/>
      <c r="J218" s="54"/>
    </row>
    <row r="219" spans="1:11" s="47" customFormat="1" ht="25.5">
      <c r="A219" s="174"/>
      <c r="B219" s="91" t="s">
        <v>131</v>
      </c>
      <c r="C219" s="65"/>
      <c r="D219" s="72">
        <v>1</v>
      </c>
      <c r="E219" s="97">
        <v>16100</v>
      </c>
      <c r="F219" s="120"/>
      <c r="G219" s="195">
        <f t="shared" ref="G219:G220" si="28">E219*D219</f>
        <v>16100</v>
      </c>
      <c r="H219" s="105" t="s">
        <v>74</v>
      </c>
      <c r="I219" s="49"/>
      <c r="J219" s="54"/>
      <c r="K219" s="50"/>
    </row>
    <row r="220" spans="1:11" s="47" customFormat="1" ht="25.5">
      <c r="A220" s="174"/>
      <c r="B220" s="91" t="s">
        <v>132</v>
      </c>
      <c r="C220" s="65"/>
      <c r="D220" s="72">
        <v>1</v>
      </c>
      <c r="E220" s="97">
        <v>4900</v>
      </c>
      <c r="F220" s="120"/>
      <c r="G220" s="195">
        <f t="shared" si="28"/>
        <v>4900</v>
      </c>
      <c r="H220" s="105" t="s">
        <v>74</v>
      </c>
      <c r="I220" s="49"/>
      <c r="J220" s="54"/>
      <c r="K220" s="50"/>
    </row>
    <row r="221" spans="1:11" s="47" customFormat="1">
      <c r="A221" s="174"/>
      <c r="B221" s="91" t="s">
        <v>168</v>
      </c>
      <c r="C221" s="65"/>
      <c r="D221" s="98">
        <v>1</v>
      </c>
      <c r="E221" s="204">
        <v>5250</v>
      </c>
      <c r="F221" s="195">
        <f>E221*D221</f>
        <v>5250</v>
      </c>
      <c r="G221" s="120"/>
      <c r="H221" s="105" t="s">
        <v>74</v>
      </c>
      <c r="I221" s="100">
        <f>SUM(G219:G220)</f>
        <v>21000</v>
      </c>
      <c r="J221" s="54"/>
      <c r="K221" s="50"/>
    </row>
    <row r="222" spans="1:11">
      <c r="A222" s="173" t="s">
        <v>138</v>
      </c>
      <c r="B222" s="123" t="s">
        <v>177</v>
      </c>
      <c r="C222" s="124"/>
      <c r="D222" s="167"/>
      <c r="E222" s="168"/>
      <c r="F222" s="165"/>
      <c r="G222" s="187"/>
      <c r="H222" s="105" t="s">
        <v>74</v>
      </c>
      <c r="I222" s="49"/>
      <c r="J222" s="54"/>
    </row>
    <row r="223" spans="1:11" s="47" customFormat="1">
      <c r="A223" s="174"/>
      <c r="B223" s="64" t="s">
        <v>69</v>
      </c>
      <c r="C223" s="65" t="s">
        <v>18</v>
      </c>
      <c r="D223" s="72">
        <v>15</v>
      </c>
      <c r="E223" s="70">
        <v>4500</v>
      </c>
      <c r="F223" s="195">
        <f t="shared" ref="F223:F224" si="29">E223*D223</f>
        <v>67500</v>
      </c>
      <c r="G223" s="120"/>
      <c r="H223" s="105" t="s">
        <v>74</v>
      </c>
      <c r="I223" s="49"/>
      <c r="J223" s="54"/>
      <c r="K223" s="50"/>
    </row>
    <row r="224" spans="1:11" s="47" customFormat="1">
      <c r="A224" s="174"/>
      <c r="B224" s="64" t="s">
        <v>76</v>
      </c>
      <c r="C224" s="66" t="s">
        <v>10</v>
      </c>
      <c r="D224" s="72">
        <v>860</v>
      </c>
      <c r="E224" s="70">
        <v>320</v>
      </c>
      <c r="F224" s="195">
        <f t="shared" si="29"/>
        <v>275200</v>
      </c>
      <c r="G224" s="120"/>
      <c r="H224" s="105" t="s">
        <v>74</v>
      </c>
      <c r="I224" s="49"/>
      <c r="J224" s="54"/>
      <c r="K224" s="50"/>
    </row>
    <row r="225" spans="1:11" s="58" customFormat="1">
      <c r="A225" s="174"/>
      <c r="B225" s="86" t="s">
        <v>154</v>
      </c>
      <c r="C225" s="87" t="s">
        <v>18</v>
      </c>
      <c r="D225" s="87">
        <v>4</v>
      </c>
      <c r="E225" s="153">
        <v>750</v>
      </c>
      <c r="F225" s="162"/>
      <c r="G225" s="195">
        <f>E225*D225</f>
        <v>3000</v>
      </c>
      <c r="H225" s="67" t="s">
        <v>74</v>
      </c>
      <c r="J225" s="54"/>
      <c r="K225" s="50"/>
    </row>
    <row r="226" spans="1:11" s="47" customFormat="1">
      <c r="A226" s="174"/>
      <c r="B226" s="123" t="s">
        <v>78</v>
      </c>
      <c r="C226" s="124"/>
      <c r="D226" s="136"/>
      <c r="E226" s="142"/>
      <c r="F226" s="187"/>
      <c r="G226" s="187"/>
      <c r="H226" s="105" t="s">
        <v>74</v>
      </c>
      <c r="I226" s="49"/>
      <c r="J226" s="54"/>
      <c r="K226" s="50"/>
    </row>
    <row r="227" spans="1:11" s="47" customFormat="1">
      <c r="A227" s="174"/>
      <c r="B227" s="64" t="s">
        <v>80</v>
      </c>
      <c r="C227" s="66" t="s">
        <v>9</v>
      </c>
      <c r="D227" s="72">
        <f>D224*0.05</f>
        <v>43</v>
      </c>
      <c r="E227" s="70">
        <v>750</v>
      </c>
      <c r="F227" s="205"/>
      <c r="G227" s="195">
        <f t="shared" ref="G227:G229" si="30">E227*D227</f>
        <v>32250</v>
      </c>
      <c r="H227" s="105" t="s">
        <v>74</v>
      </c>
      <c r="I227" s="49"/>
      <c r="J227" s="54"/>
      <c r="K227" s="50"/>
    </row>
    <row r="228" spans="1:11" s="58" customFormat="1">
      <c r="A228" s="174"/>
      <c r="B228" s="86" t="s">
        <v>152</v>
      </c>
      <c r="C228" s="87" t="s">
        <v>9</v>
      </c>
      <c r="D228" s="87">
        <f>D224*0.15</f>
        <v>129</v>
      </c>
      <c r="E228" s="153">
        <v>700</v>
      </c>
      <c r="F228" s="162"/>
      <c r="G228" s="195">
        <f t="shared" si="30"/>
        <v>90300</v>
      </c>
      <c r="H228" s="67" t="s">
        <v>74</v>
      </c>
      <c r="J228" s="54"/>
      <c r="K228" s="50"/>
    </row>
    <row r="229" spans="1:11" s="58" customFormat="1">
      <c r="A229" s="174"/>
      <c r="B229" s="86" t="s">
        <v>155</v>
      </c>
      <c r="C229" s="87" t="s">
        <v>18</v>
      </c>
      <c r="D229" s="87">
        <v>5</v>
      </c>
      <c r="E229" s="153">
        <v>1500</v>
      </c>
      <c r="F229" s="163"/>
      <c r="G229" s="195">
        <f t="shared" si="30"/>
        <v>7500</v>
      </c>
      <c r="H229" s="67" t="s">
        <v>74</v>
      </c>
      <c r="J229" s="54"/>
      <c r="K229" s="50"/>
    </row>
    <row r="230" spans="1:11">
      <c r="A230" s="173" t="s">
        <v>142</v>
      </c>
      <c r="B230" s="123" t="s">
        <v>143</v>
      </c>
      <c r="C230" s="135"/>
      <c r="D230" s="136"/>
      <c r="E230" s="142"/>
      <c r="F230" s="187"/>
      <c r="G230" s="187"/>
      <c r="H230" s="105" t="s">
        <v>74</v>
      </c>
      <c r="I230" s="49"/>
      <c r="J230" s="54"/>
    </row>
    <row r="231" spans="1:11" s="47" customFormat="1" ht="25.5">
      <c r="A231" s="174"/>
      <c r="B231" s="64" t="s">
        <v>156</v>
      </c>
      <c r="C231" s="66" t="s">
        <v>18</v>
      </c>
      <c r="D231" s="72">
        <v>15</v>
      </c>
      <c r="E231" s="70">
        <v>8500</v>
      </c>
      <c r="F231" s="195">
        <f t="shared" ref="F231:F234" si="31">E231*D231</f>
        <v>127500</v>
      </c>
      <c r="G231" s="120"/>
      <c r="H231" s="105" t="s">
        <v>74</v>
      </c>
      <c r="I231" s="49"/>
      <c r="J231" s="54"/>
      <c r="K231" s="50"/>
    </row>
    <row r="232" spans="1:11" s="47" customFormat="1">
      <c r="A232" s="174"/>
      <c r="B232" s="64" t="s">
        <v>157</v>
      </c>
      <c r="C232" s="66" t="s">
        <v>9</v>
      </c>
      <c r="D232" s="72">
        <f>284.2*0.01</f>
        <v>2.8420000000000001</v>
      </c>
      <c r="E232" s="70">
        <v>850</v>
      </c>
      <c r="F232" s="195">
        <f t="shared" si="31"/>
        <v>2415.7000000000003</v>
      </c>
      <c r="G232" s="120"/>
      <c r="H232" s="105" t="s">
        <v>74</v>
      </c>
      <c r="I232" s="49"/>
      <c r="J232" s="54"/>
      <c r="K232" s="50"/>
    </row>
    <row r="233" spans="1:11" s="58" customFormat="1" ht="38.25">
      <c r="A233" s="174"/>
      <c r="B233" s="73" t="s">
        <v>66</v>
      </c>
      <c r="C233" s="66" t="s">
        <v>10</v>
      </c>
      <c r="D233" s="72">
        <v>284.2</v>
      </c>
      <c r="E233" s="70">
        <v>250</v>
      </c>
      <c r="F233" s="195">
        <f t="shared" si="31"/>
        <v>71050</v>
      </c>
      <c r="G233" s="120"/>
      <c r="H233" s="105" t="s">
        <v>74</v>
      </c>
      <c r="I233" s="49"/>
      <c r="J233" s="54"/>
      <c r="K233" s="50"/>
    </row>
    <row r="234" spans="1:11" s="58" customFormat="1" ht="38.25">
      <c r="A234" s="174"/>
      <c r="B234" s="64" t="s">
        <v>47</v>
      </c>
      <c r="C234" s="66" t="s">
        <v>10</v>
      </c>
      <c r="D234" s="72">
        <v>284.2</v>
      </c>
      <c r="E234" s="70">
        <v>370</v>
      </c>
      <c r="F234" s="195">
        <f t="shared" si="31"/>
        <v>105154</v>
      </c>
      <c r="G234" s="120"/>
      <c r="H234" s="105" t="s">
        <v>74</v>
      </c>
      <c r="I234" s="49"/>
      <c r="J234" s="54"/>
      <c r="K234" s="50"/>
    </row>
    <row r="235" spans="1:11">
      <c r="A235" s="173">
        <v>14.1</v>
      </c>
      <c r="B235" s="145" t="s">
        <v>79</v>
      </c>
      <c r="C235" s="135"/>
      <c r="D235" s="136"/>
      <c r="E235" s="142"/>
      <c r="F235" s="187"/>
      <c r="G235" s="187"/>
      <c r="H235" s="105" t="s">
        <v>74</v>
      </c>
      <c r="I235" s="49"/>
      <c r="J235" s="54"/>
    </row>
    <row r="236" spans="1:11" s="47" customFormat="1">
      <c r="A236" s="174"/>
      <c r="B236" s="64" t="s">
        <v>158</v>
      </c>
      <c r="C236" s="66" t="s">
        <v>9</v>
      </c>
      <c r="D236" s="72">
        <f>D233*0.02*1.2</f>
        <v>6.8208000000000002</v>
      </c>
      <c r="E236" s="70">
        <v>1000</v>
      </c>
      <c r="F236" s="120"/>
      <c r="G236" s="195">
        <f t="shared" ref="G236:G237" si="32">E236*D236</f>
        <v>6820.8</v>
      </c>
      <c r="H236" s="105" t="s">
        <v>74</v>
      </c>
      <c r="I236" s="49"/>
      <c r="J236" s="54"/>
      <c r="K236" s="50"/>
    </row>
    <row r="237" spans="1:11" s="47" customFormat="1">
      <c r="A237" s="174"/>
      <c r="B237" s="64" t="s">
        <v>159</v>
      </c>
      <c r="C237" s="66" t="s">
        <v>52</v>
      </c>
      <c r="D237" s="72">
        <f>D233*0.05*2.2</f>
        <v>31.262000000000004</v>
      </c>
      <c r="E237" s="70">
        <v>4000</v>
      </c>
      <c r="F237" s="120"/>
      <c r="G237" s="195">
        <f t="shared" si="32"/>
        <v>125048.00000000001</v>
      </c>
      <c r="H237" s="105" t="s">
        <v>74</v>
      </c>
      <c r="I237" s="49"/>
      <c r="J237" s="54"/>
      <c r="K237" s="50"/>
    </row>
    <row r="238" spans="1:11">
      <c r="A238" s="173" t="s">
        <v>161</v>
      </c>
      <c r="B238" s="123" t="s">
        <v>178</v>
      </c>
      <c r="C238" s="124"/>
      <c r="D238" s="136"/>
      <c r="E238" s="142"/>
      <c r="F238" s="187"/>
      <c r="G238" s="187"/>
      <c r="H238" s="105" t="s">
        <v>74</v>
      </c>
      <c r="I238" s="49"/>
      <c r="J238" s="54"/>
    </row>
    <row r="239" spans="1:11" s="47" customFormat="1">
      <c r="A239" s="174"/>
      <c r="B239" s="68" t="s">
        <v>71</v>
      </c>
      <c r="C239" s="99"/>
      <c r="D239" s="72">
        <v>1</v>
      </c>
      <c r="E239" s="70">
        <v>50000</v>
      </c>
      <c r="F239" s="195">
        <f>E239*D239</f>
        <v>50000</v>
      </c>
      <c r="G239" s="120"/>
      <c r="H239" s="105" t="s">
        <v>74</v>
      </c>
      <c r="I239" s="49"/>
      <c r="J239" s="54"/>
      <c r="K239" s="50"/>
    </row>
    <row r="240" spans="1:11" s="47" customFormat="1" ht="40.5" customHeight="1">
      <c r="A240" s="174"/>
      <c r="B240" s="208" t="s">
        <v>190</v>
      </c>
      <c r="C240" s="69"/>
      <c r="D240" s="72">
        <v>1</v>
      </c>
      <c r="E240" s="70">
        <v>50000</v>
      </c>
      <c r="F240" s="195">
        <f>E240*D240</f>
        <v>50000</v>
      </c>
      <c r="G240" s="120"/>
      <c r="H240" s="105" t="s">
        <v>192</v>
      </c>
      <c r="I240" s="49"/>
      <c r="J240" s="54"/>
      <c r="K240" s="50"/>
    </row>
    <row r="241" spans="1:11" s="47" customFormat="1" ht="25.5">
      <c r="A241" s="174"/>
      <c r="B241" s="73" t="s">
        <v>191</v>
      </c>
      <c r="C241" s="65"/>
      <c r="D241" s="72">
        <v>1</v>
      </c>
      <c r="E241" s="70">
        <v>200000</v>
      </c>
      <c r="F241" s="195">
        <f>E241*D241</f>
        <v>200000</v>
      </c>
      <c r="G241" s="120"/>
      <c r="H241" s="105" t="s">
        <v>192</v>
      </c>
      <c r="I241" s="49"/>
      <c r="J241" s="54"/>
      <c r="K241" s="50"/>
    </row>
    <row r="242" spans="1:11" s="47" customFormat="1">
      <c r="A242" s="174"/>
      <c r="B242" s="73"/>
      <c r="C242" s="65"/>
      <c r="D242" s="72"/>
      <c r="E242" s="70"/>
      <c r="F242" s="120"/>
      <c r="G242" s="120"/>
      <c r="H242" s="101"/>
      <c r="I242" s="49"/>
      <c r="J242" s="54"/>
      <c r="K242" s="50"/>
    </row>
    <row r="243" spans="1:11" s="47" customFormat="1">
      <c r="A243" s="174"/>
      <c r="B243" s="62" t="s">
        <v>11</v>
      </c>
      <c r="C243" s="74"/>
      <c r="D243" s="75"/>
      <c r="E243" s="206"/>
      <c r="F243" s="207">
        <f>SUBTOTAL(9,F9:F239)</f>
        <v>8059565.7000000002</v>
      </c>
      <c r="G243" s="207"/>
      <c r="H243" s="102"/>
      <c r="J243" s="54"/>
      <c r="K243" s="50"/>
    </row>
    <row r="244" spans="1:11" s="47" customFormat="1">
      <c r="A244" s="174"/>
      <c r="B244" s="62" t="s">
        <v>162</v>
      </c>
      <c r="C244" s="74"/>
      <c r="D244" s="75"/>
      <c r="E244" s="206"/>
      <c r="F244" s="207"/>
      <c r="G244" s="207">
        <f>SUM(G9:G240)</f>
        <v>10605353.300000001</v>
      </c>
      <c r="H244" s="102"/>
      <c r="J244" s="54"/>
      <c r="K244" s="50"/>
    </row>
    <row r="245" spans="1:11" s="47" customFormat="1">
      <c r="A245" s="174"/>
      <c r="B245" s="62" t="s">
        <v>139</v>
      </c>
      <c r="C245" s="74"/>
      <c r="D245" s="75"/>
      <c r="E245" s="206"/>
      <c r="F245" s="207"/>
      <c r="G245" s="207">
        <f>I221+I217+I210+I204+I191+I186+I174</f>
        <v>3702960</v>
      </c>
      <c r="H245" s="102"/>
      <c r="J245" s="54"/>
      <c r="K245" s="50"/>
    </row>
    <row r="246" spans="1:11" s="47" customFormat="1">
      <c r="A246" s="174"/>
      <c r="B246" s="76" t="s">
        <v>189</v>
      </c>
      <c r="C246" s="74"/>
      <c r="D246" s="75"/>
      <c r="E246" s="206"/>
      <c r="F246" s="207"/>
      <c r="G246" s="207">
        <f>G244-G245</f>
        <v>6902393.3000000007</v>
      </c>
      <c r="H246" s="102"/>
      <c r="J246" s="54"/>
      <c r="K246" s="50"/>
    </row>
    <row r="247" spans="1:11" s="47" customFormat="1">
      <c r="A247" s="174"/>
      <c r="B247" s="76" t="s">
        <v>36</v>
      </c>
      <c r="C247" s="77"/>
      <c r="D247" s="77"/>
      <c r="E247" s="78"/>
      <c r="F247" s="79"/>
      <c r="G247" s="79"/>
      <c r="H247" s="103"/>
      <c r="J247" s="52"/>
      <c r="K247" s="50"/>
    </row>
    <row r="248" spans="1:11" s="47" customFormat="1">
      <c r="A248" s="174"/>
      <c r="B248" s="76" t="s">
        <v>140</v>
      </c>
      <c r="C248" s="77"/>
      <c r="D248" s="77"/>
      <c r="E248" s="78"/>
      <c r="F248" s="79"/>
      <c r="G248" s="79"/>
      <c r="H248" s="103"/>
      <c r="J248" s="52"/>
      <c r="K248" s="50"/>
    </row>
    <row r="249" spans="1:11" s="47" customFormat="1">
      <c r="A249" s="174"/>
      <c r="B249" s="76" t="s">
        <v>8</v>
      </c>
      <c r="C249" s="77"/>
      <c r="D249" s="77"/>
      <c r="E249" s="78"/>
      <c r="F249" s="213"/>
      <c r="G249" s="214"/>
      <c r="H249" s="104"/>
      <c r="J249" s="52"/>
      <c r="K249" s="50"/>
    </row>
    <row r="250" spans="1:11">
      <c r="A250" s="174"/>
      <c r="B250" s="76"/>
      <c r="C250" s="77"/>
      <c r="D250" s="77"/>
      <c r="E250" s="154"/>
      <c r="F250" s="213"/>
      <c r="G250" s="214"/>
      <c r="H250" s="104"/>
    </row>
    <row r="251" spans="1:11">
      <c r="A251" s="174"/>
      <c r="B251" s="146" t="s">
        <v>188</v>
      </c>
      <c r="C251" s="80"/>
      <c r="D251" s="80"/>
      <c r="E251" s="155"/>
      <c r="F251" s="211">
        <f>F243+G244</f>
        <v>18664919</v>
      </c>
      <c r="G251" s="212"/>
      <c r="H251" s="104"/>
    </row>
    <row r="252" spans="1:11">
      <c r="B252" s="81" t="s">
        <v>44</v>
      </c>
      <c r="C252" s="82"/>
      <c r="D252" s="82" t="s">
        <v>42</v>
      </c>
      <c r="E252" s="156"/>
      <c r="F252" s="164"/>
      <c r="G252" s="164"/>
      <c r="H252" s="83"/>
    </row>
    <row r="254" spans="1:11" s="121" customFormat="1">
      <c r="A254" s="171"/>
      <c r="B254" s="71"/>
      <c r="C254" s="122"/>
      <c r="D254" s="122"/>
      <c r="E254" s="157">
        <v>250000</v>
      </c>
      <c r="F254" s="162"/>
      <c r="G254" s="162">
        <v>250000</v>
      </c>
      <c r="H254" s="209" t="s">
        <v>192</v>
      </c>
      <c r="J254" s="52"/>
      <c r="K254" s="50"/>
    </row>
    <row r="255" spans="1:11">
      <c r="E255" s="157">
        <f>G255*F255</f>
        <v>321939.60000000003</v>
      </c>
      <c r="F255" s="85">
        <v>0.05</v>
      </c>
      <c r="G255" s="162">
        <v>6438792</v>
      </c>
      <c r="H255" s="210" t="s">
        <v>75</v>
      </c>
    </row>
    <row r="256" spans="1:11">
      <c r="E256" s="157">
        <f>G256*F256</f>
        <v>2445225.4</v>
      </c>
      <c r="F256" s="85">
        <v>0.2</v>
      </c>
      <c r="G256" s="162">
        <v>12226127</v>
      </c>
      <c r="H256" s="210" t="s">
        <v>74</v>
      </c>
    </row>
    <row r="257" spans="2:7">
      <c r="B257" s="71" t="s">
        <v>193</v>
      </c>
      <c r="E257" s="157">
        <f>SUM(E254:E256)</f>
        <v>3017165</v>
      </c>
      <c r="F257" s="162"/>
      <c r="G257" s="162">
        <f>SUBTOTAL(9,G255:G256)</f>
        <v>18664919</v>
      </c>
    </row>
  </sheetData>
  <autoFilter ref="A7:I249"/>
  <mergeCells count="7">
    <mergeCell ref="F251:G251"/>
    <mergeCell ref="F249:G249"/>
    <mergeCell ref="B1:G1"/>
    <mergeCell ref="A2:B2"/>
    <mergeCell ref="A4:G4"/>
    <mergeCell ref="A5:G5"/>
    <mergeCell ref="F250:G250"/>
  </mergeCells>
  <pageMargins left="0.70866141732283461" right="0.70866141732283461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D27" sqref="D27"/>
    </sheetView>
  </sheetViews>
  <sheetFormatPr defaultRowHeight="15"/>
  <cols>
    <col min="1" max="1" width="5.28515625" customWidth="1"/>
    <col min="2" max="2" width="58" customWidth="1"/>
    <col min="3" max="3" width="8.85546875" customWidth="1"/>
    <col min="4" max="4" width="10.28515625" customWidth="1"/>
    <col min="5" max="5" width="11.42578125" customWidth="1"/>
    <col min="6" max="6" width="13.140625" customWidth="1"/>
    <col min="7" max="7" width="15.85546875" customWidth="1"/>
  </cols>
  <sheetData>
    <row r="1" spans="1:7">
      <c r="A1" s="34"/>
      <c r="B1" s="33"/>
      <c r="C1" s="33"/>
      <c r="D1" s="33"/>
      <c r="E1" s="33"/>
      <c r="F1" s="33"/>
      <c r="G1" s="33"/>
    </row>
    <row r="2" spans="1:7" ht="42.75">
      <c r="A2" s="30" t="s">
        <v>0</v>
      </c>
      <c r="B2" s="7" t="s">
        <v>6</v>
      </c>
      <c r="C2" s="31" t="s">
        <v>1</v>
      </c>
      <c r="D2" s="7" t="s">
        <v>2</v>
      </c>
      <c r="E2" s="32" t="s">
        <v>3</v>
      </c>
      <c r="F2" s="32" t="s">
        <v>4</v>
      </c>
      <c r="G2" s="32" t="s">
        <v>5</v>
      </c>
    </row>
    <row r="3" spans="1:7">
      <c r="A3" s="37"/>
      <c r="B3" s="227" t="s">
        <v>34</v>
      </c>
      <c r="C3" s="228"/>
      <c r="D3" s="228"/>
      <c r="E3" s="228"/>
      <c r="F3" s="228"/>
      <c r="G3" s="229"/>
    </row>
    <row r="4" spans="1:7" ht="30">
      <c r="A4" s="5">
        <v>1</v>
      </c>
      <c r="B4" s="29" t="s">
        <v>22</v>
      </c>
      <c r="C4" s="6" t="s">
        <v>10</v>
      </c>
      <c r="D4" s="6">
        <v>21</v>
      </c>
      <c r="E4" s="10">
        <v>285</v>
      </c>
      <c r="F4" s="6">
        <f t="shared" ref="F4:F12" si="0">D4*E4</f>
        <v>5985</v>
      </c>
      <c r="G4" s="8"/>
    </row>
    <row r="5" spans="1:7">
      <c r="A5" s="5">
        <v>2</v>
      </c>
      <c r="B5" s="29" t="s">
        <v>33</v>
      </c>
      <c r="C5" s="6" t="s">
        <v>10</v>
      </c>
      <c r="D5" s="6">
        <v>21</v>
      </c>
      <c r="E5" s="10">
        <v>450</v>
      </c>
      <c r="F5" s="6">
        <f t="shared" si="0"/>
        <v>9450</v>
      </c>
      <c r="G5" s="8"/>
    </row>
    <row r="6" spans="1:7">
      <c r="A6" s="5"/>
      <c r="B6" s="9"/>
      <c r="C6" s="6"/>
      <c r="D6" s="6"/>
      <c r="E6" s="10"/>
      <c r="F6" s="6"/>
      <c r="G6" s="8"/>
    </row>
    <row r="7" spans="1:7">
      <c r="A7" s="5"/>
      <c r="B7" s="9"/>
      <c r="C7" s="6"/>
      <c r="D7" s="6"/>
      <c r="E7" s="10"/>
      <c r="F7" s="6"/>
      <c r="G7" s="8"/>
    </row>
    <row r="8" spans="1:7">
      <c r="A8" s="5">
        <v>5</v>
      </c>
      <c r="B8" s="29" t="s">
        <v>23</v>
      </c>
      <c r="C8" s="6" t="s">
        <v>18</v>
      </c>
      <c r="D8" s="6">
        <v>4</v>
      </c>
      <c r="E8" s="10">
        <v>3000</v>
      </c>
      <c r="F8" s="6">
        <f t="shared" si="0"/>
        <v>12000</v>
      </c>
      <c r="G8" s="8"/>
    </row>
    <row r="9" spans="1:7">
      <c r="A9" s="5">
        <v>6</v>
      </c>
      <c r="B9" s="9" t="s">
        <v>24</v>
      </c>
      <c r="C9" s="6" t="s">
        <v>18</v>
      </c>
      <c r="D9" s="6">
        <v>4</v>
      </c>
      <c r="E9" s="10">
        <v>5000</v>
      </c>
      <c r="F9" s="6">
        <f t="shared" si="0"/>
        <v>20000</v>
      </c>
      <c r="G9" s="8"/>
    </row>
    <row r="10" spans="1:7">
      <c r="A10" s="5">
        <v>7</v>
      </c>
      <c r="B10" s="9" t="s">
        <v>25</v>
      </c>
      <c r="C10" s="6" t="s">
        <v>26</v>
      </c>
      <c r="D10" s="6">
        <v>1</v>
      </c>
      <c r="E10" s="10">
        <v>2000</v>
      </c>
      <c r="F10" s="6">
        <f t="shared" si="0"/>
        <v>2000</v>
      </c>
      <c r="G10" s="8"/>
    </row>
    <row r="11" spans="1:7">
      <c r="A11" s="5">
        <v>8</v>
      </c>
      <c r="B11" s="29" t="s">
        <v>27</v>
      </c>
      <c r="C11" s="6" t="s">
        <v>18</v>
      </c>
      <c r="D11" s="6">
        <v>1</v>
      </c>
      <c r="E11" s="10">
        <v>500</v>
      </c>
      <c r="F11" s="6">
        <f t="shared" si="0"/>
        <v>500</v>
      </c>
      <c r="G11" s="8"/>
    </row>
    <row r="12" spans="1:7">
      <c r="A12" s="5">
        <v>12</v>
      </c>
      <c r="B12" s="9" t="s">
        <v>28</v>
      </c>
      <c r="C12" s="6" t="s">
        <v>10</v>
      </c>
      <c r="D12" s="6">
        <v>21</v>
      </c>
      <c r="E12" s="10">
        <v>55</v>
      </c>
      <c r="F12" s="6">
        <f t="shared" si="0"/>
        <v>1155</v>
      </c>
      <c r="G12" s="8"/>
    </row>
    <row r="13" spans="1:7">
      <c r="A13" s="38"/>
      <c r="B13" s="230" t="s">
        <v>35</v>
      </c>
      <c r="C13" s="231"/>
      <c r="D13" s="231"/>
      <c r="E13" s="232"/>
      <c r="F13" s="39"/>
      <c r="G13" s="40"/>
    </row>
    <row r="14" spans="1:7">
      <c r="A14" s="5"/>
      <c r="B14" s="11" t="s">
        <v>20</v>
      </c>
      <c r="C14" s="12" t="s">
        <v>21</v>
      </c>
      <c r="D14" s="12">
        <v>2.1</v>
      </c>
      <c r="E14" s="12">
        <v>7475</v>
      </c>
      <c r="F14" s="12"/>
      <c r="G14" s="12">
        <f t="shared" ref="G14:G16" si="1">D14*E14</f>
        <v>15697.5</v>
      </c>
    </row>
    <row r="15" spans="1:7">
      <c r="A15" s="5"/>
      <c r="B15" s="11" t="s">
        <v>19</v>
      </c>
      <c r="C15" s="12" t="s">
        <v>9</v>
      </c>
      <c r="D15" s="12">
        <v>1</v>
      </c>
      <c r="E15" s="12">
        <v>650</v>
      </c>
      <c r="F15" s="12"/>
      <c r="G15" s="12">
        <f t="shared" si="1"/>
        <v>650</v>
      </c>
    </row>
    <row r="16" spans="1:7">
      <c r="A16" s="5"/>
      <c r="B16" s="11" t="s">
        <v>29</v>
      </c>
      <c r="C16" s="12" t="s">
        <v>9</v>
      </c>
      <c r="D16" s="12">
        <v>2</v>
      </c>
      <c r="E16" s="12">
        <v>700</v>
      </c>
      <c r="F16" s="12"/>
      <c r="G16" s="12">
        <f t="shared" si="1"/>
        <v>1400</v>
      </c>
    </row>
    <row r="17" spans="1:7">
      <c r="A17" s="5"/>
      <c r="B17" s="11" t="s">
        <v>28</v>
      </c>
      <c r="C17" s="12" t="s">
        <v>9</v>
      </c>
      <c r="D17" s="12">
        <v>0.3</v>
      </c>
      <c r="E17" s="12">
        <v>7000</v>
      </c>
      <c r="F17" s="6"/>
      <c r="G17" s="12">
        <f>D17*E17</f>
        <v>2100</v>
      </c>
    </row>
    <row r="18" spans="1:7">
      <c r="A18" s="5"/>
      <c r="B18" s="11" t="s">
        <v>30</v>
      </c>
      <c r="C18" s="12" t="s">
        <v>18</v>
      </c>
      <c r="D18" s="12">
        <v>20</v>
      </c>
      <c r="E18" s="12">
        <v>190</v>
      </c>
      <c r="F18" s="6"/>
      <c r="G18" s="12">
        <f>D18*E18</f>
        <v>3800</v>
      </c>
    </row>
    <row r="19" spans="1:7">
      <c r="A19" s="5"/>
      <c r="B19" s="11" t="s">
        <v>31</v>
      </c>
      <c r="C19" s="12" t="s">
        <v>26</v>
      </c>
      <c r="D19" s="12">
        <v>30</v>
      </c>
      <c r="E19" s="12">
        <v>40</v>
      </c>
      <c r="F19" s="6"/>
      <c r="G19" s="12">
        <f>D19*E19</f>
        <v>1200</v>
      </c>
    </row>
    <row r="20" spans="1:7">
      <c r="A20" s="5"/>
      <c r="B20" s="11" t="s">
        <v>32</v>
      </c>
      <c r="C20" s="12" t="s">
        <v>10</v>
      </c>
      <c r="D20" s="12">
        <v>2</v>
      </c>
      <c r="E20" s="12">
        <v>422</v>
      </c>
      <c r="F20" s="6"/>
      <c r="G20" s="12">
        <f>D20*E20</f>
        <v>844</v>
      </c>
    </row>
    <row r="21" spans="1:7">
      <c r="A21" s="5"/>
      <c r="B21" s="11"/>
      <c r="C21" s="12"/>
      <c r="D21" s="12"/>
      <c r="E21" s="12"/>
      <c r="F21" s="6"/>
      <c r="G21" s="12"/>
    </row>
    <row r="22" spans="1:7">
      <c r="A22" s="41"/>
      <c r="B22" s="42"/>
      <c r="C22" s="43"/>
      <c r="D22" s="12"/>
      <c r="E22" s="35"/>
      <c r="F22" s="44"/>
      <c r="G22" s="12"/>
    </row>
    <row r="23" spans="1:7">
      <c r="A23" s="41"/>
      <c r="B23" s="42"/>
      <c r="C23" s="35"/>
      <c r="D23" s="35"/>
      <c r="E23" s="45"/>
      <c r="F23" s="46"/>
      <c r="G23" s="36"/>
    </row>
    <row r="24" spans="1:7">
      <c r="A24" s="13"/>
      <c r="B24" s="14" t="s">
        <v>11</v>
      </c>
      <c r="C24" s="15"/>
      <c r="D24" s="16"/>
      <c r="E24" s="17"/>
      <c r="F24" s="18">
        <f>SUM(F4:F21)</f>
        <v>51090</v>
      </c>
      <c r="G24" s="19"/>
    </row>
    <row r="25" spans="1:7">
      <c r="A25" s="20"/>
      <c r="B25" s="21" t="s">
        <v>12</v>
      </c>
      <c r="C25" s="22"/>
      <c r="D25" s="1"/>
      <c r="E25" s="23"/>
      <c r="F25" s="24"/>
      <c r="G25" s="25">
        <f>SUM(G14:G24)</f>
        <v>25691.5</v>
      </c>
    </row>
    <row r="26" spans="1:7">
      <c r="A26" s="1"/>
      <c r="B26" s="2"/>
      <c r="C26" s="2"/>
      <c r="D26" s="2"/>
      <c r="E26" s="2"/>
      <c r="F26" s="24"/>
      <c r="G26" s="25"/>
    </row>
    <row r="27" spans="1:7">
      <c r="A27" s="1"/>
      <c r="B27" s="3" t="s">
        <v>13</v>
      </c>
      <c r="C27" s="26" t="s">
        <v>14</v>
      </c>
      <c r="D27" s="26">
        <v>15</v>
      </c>
      <c r="E27" s="26"/>
      <c r="F27" s="24">
        <f>F24*15%</f>
        <v>7663.5</v>
      </c>
      <c r="G27" s="25"/>
    </row>
    <row r="28" spans="1:7">
      <c r="A28" s="1"/>
      <c r="B28" s="27" t="s">
        <v>15</v>
      </c>
      <c r="C28" s="26" t="s">
        <v>14</v>
      </c>
      <c r="D28" s="28">
        <v>10</v>
      </c>
      <c r="E28" s="26"/>
      <c r="F28" s="24"/>
      <c r="G28" s="25"/>
    </row>
    <row r="29" spans="1:7">
      <c r="A29" s="1"/>
      <c r="B29" s="2" t="s">
        <v>16</v>
      </c>
      <c r="C29" s="26"/>
      <c r="D29" s="26"/>
      <c r="E29" s="26"/>
      <c r="F29" s="233">
        <f>F24+F27+F28</f>
        <v>58753.5</v>
      </c>
      <c r="G29" s="234"/>
    </row>
    <row r="30" spans="1:7">
      <c r="A30" s="1"/>
      <c r="B30" s="2"/>
      <c r="C30" s="26"/>
      <c r="D30" s="26"/>
      <c r="E30" s="26"/>
      <c r="F30" s="235"/>
      <c r="G30" s="236"/>
    </row>
    <row r="31" spans="1:7">
      <c r="A31" s="1"/>
      <c r="B31" s="2" t="s">
        <v>8</v>
      </c>
      <c r="C31" s="2"/>
      <c r="D31" s="2"/>
      <c r="E31" s="2"/>
      <c r="F31" s="237">
        <f>F29+G25</f>
        <v>84445</v>
      </c>
      <c r="G31" s="238"/>
    </row>
    <row r="32" spans="1:7">
      <c r="A32" s="1"/>
      <c r="B32" s="2" t="s">
        <v>7</v>
      </c>
      <c r="C32" s="2"/>
      <c r="D32" s="2"/>
      <c r="E32" s="2"/>
      <c r="F32" s="237"/>
      <c r="G32" s="238"/>
    </row>
    <row r="33" spans="1:7">
      <c r="A33" s="1"/>
      <c r="B33" s="3" t="s">
        <v>17</v>
      </c>
      <c r="C33" s="4"/>
      <c r="D33" s="4"/>
      <c r="E33" s="4"/>
      <c r="F33" s="225">
        <f>F31+F32</f>
        <v>84445</v>
      </c>
      <c r="G33" s="226"/>
    </row>
  </sheetData>
  <mergeCells count="7">
    <mergeCell ref="F33:G33"/>
    <mergeCell ref="B3:G3"/>
    <mergeCell ref="B13:E13"/>
    <mergeCell ref="F29:G29"/>
    <mergeCell ref="F30:G30"/>
    <mergeCell ref="F31:G31"/>
    <mergeCell ref="F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Малышева, 84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Gigabyte</cp:lastModifiedBy>
  <cp:lastPrinted>2019-08-14T05:35:52Z</cp:lastPrinted>
  <dcterms:created xsi:type="dcterms:W3CDTF">2015-01-14T06:42:25Z</dcterms:created>
  <dcterms:modified xsi:type="dcterms:W3CDTF">2019-12-18T12:20:41Z</dcterms:modified>
</cp:coreProperties>
</file>